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Users\Alvydas\Downloads\"/>
    </mc:Choice>
  </mc:AlternateContent>
  <xr:revisionPtr revIDLastSave="0" documentId="8_{F0CF33BF-9C07-4552-9A47-7912855D5C57}" xr6:coauthVersionLast="47" xr6:coauthVersionMax="47" xr10:uidLastSave="{00000000-0000-0000-0000-000000000000}"/>
  <bookViews>
    <workbookView xWindow="-108" yWindow="-108" windowWidth="23256" windowHeight="12576" tabRatio="766" xr2:uid="{00000000-000D-0000-FFFF-FFFF00000000}"/>
  </bookViews>
  <sheets>
    <sheet name="2 programa" sheetId="9" r:id="rId1"/>
    <sheet name="Planui" sheetId="10" state="hidden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0" i="9" l="1"/>
  <c r="J109" i="9"/>
  <c r="J108" i="9"/>
  <c r="J107" i="9"/>
  <c r="J106" i="9"/>
  <c r="J105" i="9"/>
  <c r="J37" i="9"/>
  <c r="J165" i="9"/>
  <c r="J176" i="9"/>
  <c r="J258" i="9"/>
  <c r="L115" i="9" l="1"/>
  <c r="K115" i="9"/>
  <c r="K258" i="9"/>
  <c r="L258" i="9"/>
  <c r="K248" i="9"/>
  <c r="L248" i="9"/>
  <c r="K226" i="9"/>
  <c r="L226" i="9"/>
  <c r="K227" i="9"/>
  <c r="L227" i="9"/>
  <c r="K228" i="9"/>
  <c r="L228" i="9"/>
  <c r="K229" i="9"/>
  <c r="L229" i="9"/>
  <c r="K231" i="9"/>
  <c r="L231" i="9"/>
  <c r="K232" i="9"/>
  <c r="L232" i="9"/>
  <c r="K233" i="9"/>
  <c r="L233" i="9"/>
  <c r="K234" i="9"/>
  <c r="L234" i="9"/>
  <c r="K235" i="9"/>
  <c r="L235" i="9"/>
  <c r="K220" i="9"/>
  <c r="L220" i="9"/>
  <c r="K216" i="9"/>
  <c r="L216" i="9"/>
  <c r="K215" i="9"/>
  <c r="L215" i="9"/>
  <c r="K113" i="9"/>
  <c r="K209" i="9"/>
  <c r="L171" i="9"/>
  <c r="K153" i="9"/>
  <c r="K154" i="9"/>
  <c r="K125" i="9"/>
  <c r="L125" i="9"/>
  <c r="K171" i="9" l="1"/>
  <c r="J229" i="9"/>
  <c r="J233" i="9"/>
  <c r="L212" i="9"/>
  <c r="K212" i="9"/>
  <c r="L186" i="9"/>
  <c r="L187" i="9"/>
  <c r="L197" i="9"/>
  <c r="L200" i="9"/>
  <c r="K186" i="9"/>
  <c r="K187" i="9"/>
  <c r="K197" i="9"/>
  <c r="K200" i="9"/>
  <c r="L182" i="9"/>
  <c r="L183" i="9"/>
  <c r="K182" i="9"/>
  <c r="K183" i="9"/>
  <c r="L174" i="9"/>
  <c r="L175" i="9"/>
  <c r="L176" i="9"/>
  <c r="L177" i="9"/>
  <c r="L178" i="9"/>
  <c r="L179" i="9"/>
  <c r="K174" i="9"/>
  <c r="K175" i="9"/>
  <c r="K176" i="9"/>
  <c r="K177" i="9"/>
  <c r="K178" i="9"/>
  <c r="K179" i="9"/>
  <c r="L150" i="9"/>
  <c r="K150" i="9"/>
  <c r="L127" i="9"/>
  <c r="L128" i="9"/>
  <c r="L129" i="9"/>
  <c r="L130" i="9"/>
  <c r="L131" i="9"/>
  <c r="L132" i="9"/>
  <c r="L133" i="9"/>
  <c r="L134" i="9"/>
  <c r="L135" i="9"/>
  <c r="L136" i="9"/>
  <c r="L137" i="9"/>
  <c r="K127" i="9"/>
  <c r="K128" i="9"/>
  <c r="K129" i="9"/>
  <c r="K130" i="9"/>
  <c r="K131" i="9"/>
  <c r="K132" i="9"/>
  <c r="K133" i="9"/>
  <c r="K134" i="9"/>
  <c r="K135" i="9"/>
  <c r="K136" i="9"/>
  <c r="K137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L57" i="9"/>
  <c r="L58" i="9"/>
  <c r="L59" i="9"/>
  <c r="L60" i="9"/>
  <c r="L61" i="9"/>
  <c r="L64" i="9"/>
  <c r="L65" i="9"/>
  <c r="L66" i="9"/>
  <c r="L67" i="9"/>
  <c r="L68" i="9"/>
  <c r="L69" i="9"/>
  <c r="L70" i="9"/>
  <c r="L71" i="9"/>
  <c r="L72" i="9"/>
  <c r="L73" i="9"/>
  <c r="L75" i="9"/>
  <c r="L76" i="9"/>
  <c r="L77" i="9"/>
  <c r="L78" i="9"/>
  <c r="K57" i="9"/>
  <c r="K58" i="9"/>
  <c r="K59" i="9"/>
  <c r="K60" i="9"/>
  <c r="K61" i="9"/>
  <c r="K64" i="9"/>
  <c r="K65" i="9"/>
  <c r="K66" i="9"/>
  <c r="K67" i="9"/>
  <c r="K68" i="9"/>
  <c r="K69" i="9"/>
  <c r="K70" i="9"/>
  <c r="K71" i="9"/>
  <c r="K72" i="9"/>
  <c r="K73" i="9"/>
  <c r="K75" i="9"/>
  <c r="K76" i="9"/>
  <c r="K77" i="9"/>
  <c r="K78" i="9"/>
  <c r="K52" i="9"/>
  <c r="L52" i="9"/>
  <c r="K53" i="9"/>
  <c r="L53" i="9"/>
  <c r="K54" i="9"/>
  <c r="L54" i="9"/>
  <c r="K55" i="9"/>
  <c r="L55" i="9"/>
  <c r="K56" i="9"/>
  <c r="L56" i="9"/>
  <c r="L50" i="9"/>
  <c r="L51" i="9"/>
  <c r="K50" i="9"/>
  <c r="K51" i="9"/>
  <c r="K37" i="9"/>
  <c r="L37" i="9"/>
  <c r="K38" i="9"/>
  <c r="L38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15" i="9"/>
  <c r="L15" i="9"/>
  <c r="K207" i="9" l="1"/>
  <c r="L207" i="9"/>
  <c r="J118" i="9"/>
  <c r="J115" i="9"/>
  <c r="J254" i="9"/>
  <c r="J175" i="9"/>
  <c r="J178" i="9"/>
  <c r="J216" i="9"/>
  <c r="J78" i="9"/>
  <c r="J73" i="9"/>
  <c r="J71" i="9"/>
  <c r="J69" i="9"/>
  <c r="J67" i="9"/>
  <c r="J65" i="9"/>
  <c r="J61" i="9"/>
  <c r="J59" i="9"/>
  <c r="J57" i="9"/>
  <c r="J55" i="9"/>
  <c r="J51" i="9"/>
  <c r="J53" i="9"/>
  <c r="J70" i="9"/>
  <c r="J145" i="9"/>
  <c r="J148" i="9"/>
  <c r="J147" i="9"/>
  <c r="J141" i="9"/>
  <c r="J143" i="9"/>
  <c r="J149" i="9"/>
  <c r="J140" i="9"/>
  <c r="J150" i="9" l="1"/>
  <c r="J253" i="9"/>
  <c r="J251" i="9"/>
  <c r="J248" i="9"/>
  <c r="J235" i="9"/>
  <c r="J234" i="9"/>
  <c r="J232" i="9"/>
  <c r="J231" i="9"/>
  <c r="J228" i="9"/>
  <c r="J226" i="9"/>
  <c r="J220" i="9"/>
  <c r="J215" i="9"/>
  <c r="J208" i="9"/>
  <c r="J210" i="9"/>
  <c r="J227" i="9"/>
  <c r="J200" i="9"/>
  <c r="J197" i="9"/>
  <c r="J187" i="9"/>
  <c r="J186" i="9"/>
  <c r="J182" i="9"/>
  <c r="J183" i="9"/>
  <c r="J177" i="9"/>
  <c r="J174" i="9"/>
  <c r="J169" i="9"/>
  <c r="J167" i="9"/>
  <c r="J163" i="9"/>
  <c r="J161" i="9"/>
  <c r="J159" i="9"/>
  <c r="J157" i="9"/>
  <c r="J153" i="9"/>
  <c r="J207" i="9" l="1"/>
  <c r="J171" i="9"/>
  <c r="J212" i="9"/>
  <c r="J151" i="9" l="1"/>
  <c r="J152" i="9" s="1"/>
  <c r="J137" i="9"/>
  <c r="J136" i="9"/>
  <c r="J135" i="9"/>
  <c r="J134" i="9"/>
  <c r="J133" i="9"/>
  <c r="J132" i="9"/>
  <c r="J131" i="9"/>
  <c r="J130" i="9"/>
  <c r="J129" i="9"/>
  <c r="J128" i="9"/>
  <c r="J127" i="9"/>
  <c r="J125" i="9"/>
  <c r="J122" i="9"/>
  <c r="J139" i="9" l="1"/>
  <c r="J124" i="9"/>
  <c r="J103" i="9" l="1"/>
  <c r="J102" i="9"/>
  <c r="J101" i="9"/>
  <c r="J100" i="9"/>
  <c r="J99" i="9"/>
  <c r="J98" i="9"/>
  <c r="J97" i="9"/>
  <c r="J96" i="9"/>
  <c r="J95" i="9"/>
  <c r="J94" i="9"/>
  <c r="J92" i="9"/>
  <c r="J91" i="9"/>
  <c r="J90" i="9"/>
  <c r="J89" i="9"/>
  <c r="J88" i="9"/>
  <c r="J87" i="9"/>
  <c r="J86" i="9"/>
  <c r="J85" i="9"/>
  <c r="J83" i="9"/>
  <c r="J93" i="9"/>
  <c r="J75" i="9"/>
  <c r="J179" i="9"/>
  <c r="J77" i="9"/>
  <c r="J72" i="9"/>
  <c r="J68" i="9"/>
  <c r="J66" i="9"/>
  <c r="J64" i="9"/>
  <c r="J60" i="9"/>
  <c r="J58" i="9"/>
  <c r="J56" i="9"/>
  <c r="J54" i="9"/>
  <c r="J52" i="9"/>
  <c r="J50" i="9"/>
  <c r="J31" i="9"/>
  <c r="J32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38" i="9"/>
  <c r="J35" i="9"/>
  <c r="J34" i="9"/>
  <c r="J33" i="9"/>
  <c r="J30" i="9"/>
  <c r="J15" i="9"/>
  <c r="J16" i="9" s="1"/>
  <c r="J104" i="9" l="1"/>
  <c r="L124" i="9" l="1"/>
  <c r="J36" i="9" l="1"/>
  <c r="J185" i="9" l="1"/>
  <c r="J181" i="9"/>
  <c r="K152" i="9"/>
  <c r="L152" i="9"/>
  <c r="K139" i="9"/>
  <c r="L139" i="9"/>
  <c r="K82" i="9"/>
  <c r="L82" i="9"/>
  <c r="J255" i="9"/>
  <c r="J217" i="9"/>
  <c r="J39" i="9" l="1"/>
  <c r="J272" i="9"/>
  <c r="K124" i="9"/>
  <c r="J236" i="9"/>
  <c r="J80" i="9"/>
  <c r="J213" i="9"/>
  <c r="J245" i="9"/>
  <c r="J126" i="9"/>
  <c r="J112" i="9"/>
  <c r="J49" i="9"/>
  <c r="L112" i="9"/>
  <c r="K112" i="9"/>
  <c r="J252" i="9" l="1"/>
  <c r="L80" i="9" l="1"/>
  <c r="K80" i="9"/>
  <c r="L126" i="9" l="1"/>
  <c r="K126" i="9"/>
  <c r="C19" i="10" l="1"/>
  <c r="D19" i="10"/>
  <c r="E19" i="10"/>
  <c r="D17" i="10" l="1"/>
  <c r="E17" i="10"/>
  <c r="C17" i="10"/>
  <c r="K259" i="9"/>
  <c r="K260" i="9" s="1"/>
  <c r="L259" i="9"/>
  <c r="L260" i="9" s="1"/>
  <c r="J259" i="9"/>
  <c r="J260" i="9" s="1"/>
  <c r="L252" i="9"/>
  <c r="L255" i="9" s="1"/>
  <c r="K252" i="9"/>
  <c r="K255" i="9" s="1"/>
  <c r="K249" i="9"/>
  <c r="L249" i="9"/>
  <c r="J249" i="9"/>
  <c r="J256" i="9" s="1"/>
  <c r="L245" i="9"/>
  <c r="K245" i="9"/>
  <c r="K236" i="9"/>
  <c r="L236" i="9"/>
  <c r="K221" i="9"/>
  <c r="K222" i="9" s="1"/>
  <c r="L221" i="9"/>
  <c r="L222" i="9" s="1"/>
  <c r="J221" i="9"/>
  <c r="J222" i="9" s="1"/>
  <c r="K217" i="9"/>
  <c r="K218" i="9" s="1"/>
  <c r="L217" i="9"/>
  <c r="L218" i="9" s="1"/>
  <c r="J218" i="9"/>
  <c r="K185" i="9"/>
  <c r="L185" i="9"/>
  <c r="K181" i="9"/>
  <c r="L181" i="9"/>
  <c r="K104" i="9"/>
  <c r="L104" i="9"/>
  <c r="K84" i="9"/>
  <c r="L84" i="9"/>
  <c r="J84" i="9"/>
  <c r="J82" i="9"/>
  <c r="K49" i="9"/>
  <c r="L49" i="9"/>
  <c r="K39" i="9"/>
  <c r="L39" i="9"/>
  <c r="K36" i="9"/>
  <c r="L36" i="9"/>
  <c r="K16" i="9"/>
  <c r="L16" i="9"/>
  <c r="J271" i="9"/>
  <c r="K271" i="9"/>
  <c r="L271" i="9"/>
  <c r="K272" i="9"/>
  <c r="L272" i="9"/>
  <c r="J273" i="9"/>
  <c r="K273" i="9"/>
  <c r="L273" i="9"/>
  <c r="J274" i="9"/>
  <c r="K274" i="9"/>
  <c r="L274" i="9"/>
  <c r="J275" i="9"/>
  <c r="K275" i="9"/>
  <c r="L275" i="9"/>
  <c r="J276" i="9"/>
  <c r="K276" i="9"/>
  <c r="L276" i="9"/>
  <c r="J277" i="9"/>
  <c r="K277" i="9"/>
  <c r="L277" i="9"/>
  <c r="C12" i="10" l="1"/>
  <c r="L213" i="9"/>
  <c r="J270" i="9"/>
  <c r="J269" i="9" s="1"/>
  <c r="J172" i="9"/>
  <c r="J223" i="9" s="1"/>
  <c r="L246" i="9"/>
  <c r="L172" i="9"/>
  <c r="K172" i="9"/>
  <c r="L256" i="9"/>
  <c r="K256" i="9"/>
  <c r="J246" i="9"/>
  <c r="E5" i="10"/>
  <c r="C16" i="10"/>
  <c r="D7" i="10"/>
  <c r="E7" i="10"/>
  <c r="D6" i="10"/>
  <c r="E6" i="10"/>
  <c r="K270" i="9"/>
  <c r="K269" i="9" s="1"/>
  <c r="K280" i="9" s="1"/>
  <c r="K282" i="9" s="1"/>
  <c r="D4" i="10" s="1"/>
  <c r="L270" i="9"/>
  <c r="L269" i="9" s="1"/>
  <c r="L280" i="9" s="1"/>
  <c r="L282" i="9" s="1"/>
  <c r="E4" i="10" s="1"/>
  <c r="K246" i="9"/>
  <c r="K213" i="9"/>
  <c r="E3" i="10"/>
  <c r="D3" i="10"/>
  <c r="E12" i="10"/>
  <c r="D15" i="10"/>
  <c r="C14" i="10"/>
  <c r="E16" i="10"/>
  <c r="D12" i="10"/>
  <c r="C11" i="10"/>
  <c r="D16" i="10"/>
  <c r="E9" i="10"/>
  <c r="E14" i="10"/>
  <c r="E11" i="10"/>
  <c r="E15" i="10"/>
  <c r="E13" i="10"/>
  <c r="D13" i="10"/>
  <c r="D9" i="10"/>
  <c r="D14" i="10"/>
  <c r="C13" i="10"/>
  <c r="C15" i="10"/>
  <c r="D11" i="10"/>
  <c r="L261" i="9" l="1"/>
  <c r="C6" i="10"/>
  <c r="J280" i="9"/>
  <c r="J282" i="9" s="1"/>
  <c r="C4" i="10" s="1"/>
  <c r="K261" i="9"/>
  <c r="J261" i="9"/>
  <c r="J262" i="9" s="1"/>
  <c r="C5" i="10"/>
  <c r="C9" i="10"/>
  <c r="K223" i="9"/>
  <c r="D5" i="10"/>
  <c r="L223" i="9"/>
  <c r="C8" i="10" l="1"/>
  <c r="C21" i="10"/>
  <c r="L262" i="9"/>
  <c r="C7" i="10"/>
  <c r="K262" i="9"/>
  <c r="E8" i="10"/>
  <c r="D8" i="10"/>
  <c r="C3" i="10" l="1"/>
  <c r="E21" i="10"/>
  <c r="D21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tc={2BEB744C-7159-45CC-900B-0E0A3EE19E31}</author>
  </authors>
  <commentList>
    <comment ref="J272" authorId="0" shapeId="0" xr:uid="{2BEB744C-7159-45CC-900B-0E0A3EE19E31}">
      <text>
        <r>
          <rPr>
            <sz val="11"/>
            <color theme="1"/>
            <rFont val="Calibri"/>
            <family val="2"/>
            <scheme val="minor"/>
          </rPr>
          <t>[Komentarų gija]
„Excel“ versija leidžia jums skaityti šią komentarų giją, tačiau visi jos taisymai bus pašalinti, jei failas atidaromas naudojant naujesnę „Excel“ versiją. Daugiau informacijos: https://go.microsoft.com/fwlink/?linkid=870924.
Komentaras:
    15 tukst. Visos dienos, nes per Audrone neina</t>
        </r>
      </text>
    </comment>
  </commentList>
</comments>
</file>

<file path=xl/sharedStrings.xml><?xml version="1.0" encoding="utf-8"?>
<sst xmlns="http://schemas.openxmlformats.org/spreadsheetml/2006/main" count="710" uniqueCount="189">
  <si>
    <t>(Kaišiadorių rajono savivaldybės tarybos                     2025 m. rugpjūčio 28 d. sprendimu Nr. V17E-197 redakcija)</t>
  </si>
  <si>
    <t xml:space="preserve">Kaišiadorių r. savivaldybės 2026-2028 m. strateginio veiklos plano                                                                  1 priedas </t>
  </si>
  <si>
    <t>Programos tikslo kodas</t>
  </si>
  <si>
    <t>Uždavinio kodas</t>
  </si>
  <si>
    <t>Priemonės kodas</t>
  </si>
  <si>
    <t>Priemonės pavadinimas</t>
  </si>
  <si>
    <t>Priemonės požymis</t>
  </si>
  <si>
    <t>Asignavimų valdytojas</t>
  </si>
  <si>
    <t>Vykdytojas</t>
  </si>
  <si>
    <t>Savivaldybės strateginio plėtros plano priemonės kodas</t>
  </si>
  <si>
    <t>Finansavimo šaltinis</t>
  </si>
  <si>
    <t>2026 m. poreikis</t>
  </si>
  <si>
    <t>2027 m. poreikis</t>
  </si>
  <si>
    <t>2028 m. poreikis</t>
  </si>
  <si>
    <t>Iš viso</t>
  </si>
  <si>
    <t>01</t>
  </si>
  <si>
    <t>TP</t>
  </si>
  <si>
    <t>Savivaldybės administracijos direktorius</t>
  </si>
  <si>
    <t>-</t>
  </si>
  <si>
    <t>SBN</t>
  </si>
  <si>
    <t>Iš viso:</t>
  </si>
  <si>
    <t>02</t>
  </si>
  <si>
    <t>03</t>
  </si>
  <si>
    <t>AML</t>
  </si>
  <si>
    <t>04</t>
  </si>
  <si>
    <t>05</t>
  </si>
  <si>
    <t>Įstaigų vadovai</t>
  </si>
  <si>
    <t>Kaišiadorių lopšelio-darželio „Žvaigždutė“ direktorius</t>
  </si>
  <si>
    <t>Kaišiadorių lopšelio-darželio „Spindulys“ direktorius</t>
  </si>
  <si>
    <t>Kaišiadorių r. Rumšiškių lopšelio-darželio direktorius</t>
  </si>
  <si>
    <t>Kaišiadorių r. Pravieniškių lopšelio-darželio „Ąžuoliukas“ direktorius</t>
  </si>
  <si>
    <t>Kaišiadorių r. Gudienos mokyklos-darželio „Rugelis“ direktorius</t>
  </si>
  <si>
    <t>Kaišiadorių r. Žiežmarių mokyklos-darželio „Vaikystės dvaras“ direktorius</t>
  </si>
  <si>
    <t>Kaišiadorių Algirdo Brazausko gimnazijos direktorius</t>
  </si>
  <si>
    <t>Kaišiadorių r. Žiežmarių gimnazijos direktorius</t>
  </si>
  <si>
    <t>Kaišiadorių r. Rumšiškių Antano Baranausko gimnazijos direktorius</t>
  </si>
  <si>
    <t>Kaišiadorių r. Kruonio pagrindinės mokyklos direktorius</t>
  </si>
  <si>
    <t>Kaišiadorių Vaclovo Giržado progimnazijos direktorius</t>
  </si>
  <si>
    <t>Kaišiadorių r. Žaslių pagrindinės mokyklos direktorius</t>
  </si>
  <si>
    <t>Kaišiadorių rajono Palomenės pagrindinės mokyklos direktorius</t>
  </si>
  <si>
    <t>Kaišiadorių suaugusiųjų mokyklos direktorius</t>
  </si>
  <si>
    <t>Kaišiadorių šventosios Faustinos ugdymo centro direktorius</t>
  </si>
  <si>
    <t>Kaišiadorių pedagoginės psichologinės tarnybos direktorius</t>
  </si>
  <si>
    <t>Kaišiadorių meno mokyklos direktorius</t>
  </si>
  <si>
    <t>PĮ</t>
  </si>
  <si>
    <t>Kaišiadorių švietimo ir sporto centro direktorius</t>
  </si>
  <si>
    <t xml:space="preserve">Kaišiadorių Jono Aisčio bibliotekos direktorius </t>
  </si>
  <si>
    <t>Kaišiadorių muziejaus direktorius</t>
  </si>
  <si>
    <t>Kaišiadorių kultūros centro direktorius</t>
  </si>
  <si>
    <t>Kruonio kultūros centro direktorius</t>
  </si>
  <si>
    <t>Palomenės kultūros centro direktorius</t>
  </si>
  <si>
    <t>Rumšiškių kultūros centro direktorius</t>
  </si>
  <si>
    <t>Žaslių kultūros centro direktorius</t>
  </si>
  <si>
    <t>Žiežmarių kultūros centro direktorius</t>
  </si>
  <si>
    <t>06</t>
  </si>
  <si>
    <t>07</t>
  </si>
  <si>
    <t>08</t>
  </si>
  <si>
    <t>09</t>
  </si>
  <si>
    <t>Iš viso uždaviniui:</t>
  </si>
  <si>
    <t>Iš viso tikslui:</t>
  </si>
  <si>
    <t>VBD</t>
  </si>
  <si>
    <t>10</t>
  </si>
  <si>
    <t>11</t>
  </si>
  <si>
    <t>12</t>
  </si>
  <si>
    <t>Švietimo, kultūros ir sporto skyrius</t>
  </si>
  <si>
    <t>13</t>
  </si>
  <si>
    <t>PP</t>
  </si>
  <si>
    <t>Strateginio planavimo ir investicijų skyrius</t>
  </si>
  <si>
    <t>Įstaigos vadovas</t>
  </si>
  <si>
    <t>ES</t>
  </si>
  <si>
    <t xml:space="preserve">Iš viso  programai: </t>
  </si>
  <si>
    <t>* P - pažangos uždavinys, T - tęstinės veiklos uždavinys, RP - regiono pažangos priemonė (projektas), PP - pažangos priemonė (projektas), TP - tęstinės veiklos priemonė, NF - nefinansinė priemonė</t>
  </si>
  <si>
    <t>Finansavimo šaltinių suvestinė (tūkst. Eur)</t>
  </si>
  <si>
    <t>Finansavimo šaltiniai</t>
  </si>
  <si>
    <t>Lėšų poreikis</t>
  </si>
  <si>
    <t>SAVIVALDYBĖS  LĖŠOS, IŠ VISO:</t>
  </si>
  <si>
    <t>Savivaldybės biudžetas (įskaitant skolintas lėšas) (SB)</t>
  </si>
  <si>
    <t>Iš jo, savivaldybės biudžeto lėšos (nuosavos, be ankstesnių metų likučio) (SBN)</t>
  </si>
  <si>
    <t>Lietuvos Respublikos valstybės biudžeto dotacijos (VBD)</t>
  </si>
  <si>
    <t xml:space="preserve">Pajamų įmokos ir kitos pajamos (PĮ) </t>
  </si>
  <si>
    <t>Tikslinės paskirties pajamos (TPP)</t>
  </si>
  <si>
    <t>Europos Sąjungos ir kitos tarptautinės finansinės paramos lėšos (ES)</t>
  </si>
  <si>
    <t>Skolintos lėšos (SL)</t>
  </si>
  <si>
    <t>Ankstesnių metų likučiai (AML)</t>
  </si>
  <si>
    <t>KITI ŠALTINIAI, IŠ VISO:</t>
  </si>
  <si>
    <t>Kiti šaltiniai (Europos Sąjungos finansinė parama projektams įgyvendinti ir kitos teisėtai gautos lėšos, nurodant atskirus šaltinius) (Kt)</t>
  </si>
  <si>
    <t>IŠ VISO programai finansuoti pagal finansavimo šaltinius (1 ir 2 punktai)</t>
  </si>
  <si>
    <t>Iš jų: regioninių pažangos priemonių lėšos (RPP)</t>
  </si>
  <si>
    <t>IŠ VISO:</t>
  </si>
  <si>
    <t>(Kaišiadorių rajono savivaldybės tarybos                2025 m. birželio 26 d. sprendimu Nr. V17E-169 redakcija)</t>
  </si>
  <si>
    <t xml:space="preserve">02 Švietimo, kultūros ir sporto programa </t>
  </si>
  <si>
    <t xml:space="preserve">Užtikrinti gyventojams kokybiškas ir prieinamas švietimo ir sporto paslaugas </t>
  </si>
  <si>
    <t>Užtikrinti privalomo formaliojo švietimo programų prieinamumą ir jų įgyvendinimo kokybę</t>
  </si>
  <si>
    <t>Valstybinės švietimo politikos vykdymo užtikrinimas</t>
  </si>
  <si>
    <t>2.1-1-1</t>
  </si>
  <si>
    <t>Mokymo lėšų paskirstymas ir panaudojimas pagal nustatytas tvarkas</t>
  </si>
  <si>
    <t>Savivaldybės mokyklų (klasių), skirtų šalies (regiono) mokiniams, turintiems specialiųjų ugdymosi poreikių, ir kitų savivaldybei perduotų įstaigų išlaikymas</t>
  </si>
  <si>
    <t>Mokytojų personalo optimizavimo ir atnaujinimo išlaidų finansavimas</t>
  </si>
  <si>
    <t xml:space="preserve"> Švietimo įstaigų veiklos organizavimas</t>
  </si>
  <si>
    <t>Kaišiadorių r. Kruonio pagrindinė mokyklos direktorius</t>
  </si>
  <si>
    <t>Socialinę riziką patiriančių pagal ikimokyklinio ugdymo programas ugdomų vaikų ugdymo, maitinimo ir pavėžėjimo finansavimas</t>
  </si>
  <si>
    <t>Pirmoko krepšelio skyrimas</t>
  </si>
  <si>
    <t>Savivaldybės biudžetinių švietimo įstaigų pedagoginių darbuotojų kelionės išlaidų dalinis finansavimas</t>
  </si>
  <si>
    <t>Profesinio orientavimo vykdymas</t>
  </si>
  <si>
    <t>2.1-3-1</t>
  </si>
  <si>
    <t xml:space="preserve">Projekto ,,Ugdymo prieinamumo didinimas ir plėtojimas Kaišiadorių rajono savivaldybėje“ vykdymas
</t>
  </si>
  <si>
    <t>RPP</t>
  </si>
  <si>
    <t>2.1-1-2</t>
  </si>
  <si>
    <t>SL</t>
  </si>
  <si>
    <t>„Tūkstantmečio mokyklų“ programos savivaldybės švietimo pažangos plano įgyvendinimas</t>
  </si>
  <si>
    <t>2.1-2-7</t>
  </si>
  <si>
    <t>Švietimo pagalbos specialistų etatų finansavimas</t>
  </si>
  <si>
    <t>Kaišiadorių r. lopšelio-darželio „Spindulys“ direktorius</t>
  </si>
  <si>
    <t>Kaišiadorių r. Pravieniškių l/d „Ąžuoliukas“ direktorius</t>
  </si>
  <si>
    <t xml:space="preserve">Įtraukiojo ugdymo aplinkų pritaikymo, aprūpinimo priemonėmis švietimo
įstaigose dalinis finansavimas
</t>
  </si>
  <si>
    <t>Įstaigos vadovai</t>
  </si>
  <si>
    <t>14</t>
  </si>
  <si>
    <t xml:space="preserve">Jaunųjų kūrėjų ugdymo programos finansavimas </t>
  </si>
  <si>
    <t>15</t>
  </si>
  <si>
    <t>Projekto „Visos dienos mokyklos paslaugų prieinamumo didinimas Kaišiadorių ir Kėdainių rajono savivaldybėse“ vykdymas</t>
  </si>
  <si>
    <t>Užtikrinti neformaliojo švietimo ir sporto programų įvairovę ir jų įgyvendinimo kokybę</t>
  </si>
  <si>
    <t xml:space="preserve">Kaišiadorių rajono savivaldybės neformaliojo švietimo įstaigų veiklos užtikrinimas </t>
  </si>
  <si>
    <t>2.1-2-4</t>
  </si>
  <si>
    <t>Neformaliojo suaugusiųjų švietimo ir tęstinio mokymosi veiksmų plano finansavimas</t>
  </si>
  <si>
    <t>2.1-3-2</t>
  </si>
  <si>
    <t>Neformaliojo vaikų švietimo programų ir projektų finansavimas</t>
  </si>
  <si>
    <t>Gudienos mokyklos-darželio „Rugelis“ direktorius</t>
  </si>
  <si>
    <t>Rumšiškių Antano Baranausko gimnazijos direktorius</t>
  </si>
  <si>
    <t>Žaslių pagrindinės mokyklos direktorius</t>
  </si>
  <si>
    <t>Projekto ,,Informacinių technologijų ir techninės kūrybos projektas Kaišiadorių, Jonavos ir Raseinių rajonų savivaldybėse“ vykdymas</t>
  </si>
  <si>
    <t>Užtikrinti mokinių specialiųjų ugdymosi poreikių įvertinimą ir pedagoginės psichologinės pagalbos teikimą</t>
  </si>
  <si>
    <t>Kaišiadorių pedagoginės psichologinės tarnybos veiklos užtikrinimas</t>
  </si>
  <si>
    <t>2.1-2-1</t>
  </si>
  <si>
    <t>Skatinti Kaišiadorių rajono savivaldybės gyventojų fizinį aktyvumą</t>
  </si>
  <si>
    <t>Sporto ir aktyvaus laisvalaikio plėtros projektų rėmimo organizavimas</t>
  </si>
  <si>
    <t>Gerinti kultūrinės aplinkos ir paslaugų kokybę bei prieinamumą</t>
  </si>
  <si>
    <t>Sudaryti sąlygas etninės kultūros, gyvosios tradicijos išsaugojimui, jų tęstinumui ir vietos savitumą puoselėjančiai veiklai, užtikrinti kultūros paslaugų įvairovę ir kokybę</t>
  </si>
  <si>
    <t xml:space="preserve">Kultūros įstaigų funkcijų vykdymas </t>
  </si>
  <si>
    <t>Kaišiadorių Jono Aisčio viešosios bibliotekos direktorius</t>
  </si>
  <si>
    <t>Projekto „Kaišiadorys – Lietuvos kultūros sostinė 2024. Kaišiadorys: kultūros keliai ir kelionės“ vykdymas</t>
  </si>
  <si>
    <t>2.2-1-3</t>
  </si>
  <si>
    <t>Saugoti, tvarkyti ir populiarinti Kaišiadorių rajono savivaldybės kultūros paveldą</t>
  </si>
  <si>
    <t>Kultūros paveldo stebėsena, išsaugojimas ir populiarinimas</t>
  </si>
  <si>
    <t>1.4-1-3</t>
  </si>
  <si>
    <t>Projekto „Žydų bendruomenės praeitis Žiežmariuose“ vykdymas</t>
  </si>
  <si>
    <t>Projekto „Žiežmarių sinagogos aktualizavimas ir įveiklinimas“ vykdymas“</t>
  </si>
  <si>
    <t>Skatinti aktyvesnę mėgėjų meno kolektyvų, kultūros organizacijų, atskirų menininkų veiklą</t>
  </si>
  <si>
    <t xml:space="preserve">Kultūrinių iniciatyvų skatinimas ir puoselėjimas </t>
  </si>
  <si>
    <t>2.2-1-5; 2.2-1-6</t>
  </si>
  <si>
    <r>
      <t>Eil. Nr.</t>
    </r>
    <r>
      <rPr>
        <sz val="10"/>
        <color rgb="FF000000"/>
        <rFont val="Times New Roman"/>
        <family val="1"/>
      </rPr>
      <t> </t>
    </r>
  </si>
  <si>
    <r>
      <t>Programos kodas ir pavadinimas</t>
    </r>
    <r>
      <rPr>
        <sz val="10"/>
        <color rgb="FF000000"/>
        <rFont val="Times New Roman"/>
        <family val="1"/>
      </rPr>
      <t> </t>
    </r>
  </si>
  <si>
    <r>
      <t>2024 metų asignavimai ir kitos lėšos</t>
    </r>
    <r>
      <rPr>
        <sz val="10"/>
        <color rgb="FF000000"/>
        <rFont val="Times New Roman"/>
        <family val="1"/>
      </rPr>
      <t> </t>
    </r>
  </si>
  <si>
    <r>
      <t>2025 metų asignavimai ir kitos lėšos</t>
    </r>
    <r>
      <rPr>
        <sz val="10"/>
        <color rgb="FF000000"/>
        <rFont val="Times New Roman"/>
        <family val="1"/>
      </rPr>
      <t> </t>
    </r>
  </si>
  <si>
    <r>
      <t>2026 metų asignavimai ir kitos lėšos</t>
    </r>
    <r>
      <rPr>
        <sz val="10"/>
        <color rgb="FF000000"/>
        <rFont val="Times New Roman"/>
        <family val="1"/>
      </rPr>
      <t> </t>
    </r>
  </si>
  <si>
    <t>1 </t>
  </si>
  <si>
    <t>2 </t>
  </si>
  <si>
    <t>3 </t>
  </si>
  <si>
    <t>4 </t>
  </si>
  <si>
    <t>5 </t>
  </si>
  <si>
    <r>
      <t>1.</t>
    </r>
    <r>
      <rPr>
        <sz val="10"/>
        <color rgb="FF000000"/>
        <rFont val="Times New Roman"/>
        <family val="1"/>
      </rPr>
      <t> </t>
    </r>
  </si>
  <si>
    <r>
      <t>01 programa – Savivaldybės valdymo programa</t>
    </r>
    <r>
      <rPr>
        <sz val="10"/>
        <color rgb="FF000000"/>
        <rFont val="Times New Roman"/>
        <family val="1"/>
      </rPr>
      <t> </t>
    </r>
  </si>
  <si>
    <r>
      <t>2.</t>
    </r>
    <r>
      <rPr>
        <sz val="10"/>
        <color rgb="FF000000"/>
        <rFont val="Times New Roman"/>
        <family val="1"/>
      </rPr>
      <t> </t>
    </r>
  </si>
  <si>
    <r>
      <t xml:space="preserve">02 programa – Švietimo, kultūros ir sporto programa </t>
    </r>
    <r>
      <rPr>
        <sz val="10"/>
        <color rgb="FF000000"/>
        <rFont val="Times New Roman"/>
        <family val="1"/>
      </rPr>
      <t> </t>
    </r>
  </si>
  <si>
    <r>
      <t>3.</t>
    </r>
    <r>
      <rPr>
        <sz val="10"/>
        <color rgb="FF000000"/>
        <rFont val="Times New Roman"/>
        <family val="1"/>
      </rPr>
      <t> </t>
    </r>
  </si>
  <si>
    <r>
      <t>03 programa – Sveikatos ir socialinės apsaugos programa</t>
    </r>
    <r>
      <rPr>
        <sz val="10"/>
        <color rgb="FF000000"/>
        <rFont val="Times New Roman"/>
        <family val="1"/>
      </rPr>
      <t> </t>
    </r>
  </si>
  <si>
    <r>
      <t>4.</t>
    </r>
    <r>
      <rPr>
        <sz val="10"/>
        <color rgb="FF000000"/>
        <rFont val="Times New Roman"/>
        <family val="1"/>
      </rPr>
      <t> </t>
    </r>
  </si>
  <si>
    <r>
      <t xml:space="preserve">04 programa – Žemės ūkio ir aplinkos apsaugos programa </t>
    </r>
    <r>
      <rPr>
        <sz val="10"/>
        <color rgb="FF000000"/>
        <rFont val="Times New Roman"/>
        <family val="1"/>
      </rPr>
      <t> </t>
    </r>
  </si>
  <si>
    <r>
      <t>5.</t>
    </r>
    <r>
      <rPr>
        <sz val="10"/>
        <color rgb="FF000000"/>
        <rFont val="Times New Roman"/>
        <family val="1"/>
      </rPr>
      <t> </t>
    </r>
  </si>
  <si>
    <r>
      <t>05 programa – Investicijų, ūkio ir teritorijų planavimo programa</t>
    </r>
    <r>
      <rPr>
        <sz val="10"/>
        <color rgb="FF000000"/>
        <rFont val="Times New Roman"/>
        <family val="1"/>
      </rPr>
      <t> </t>
    </r>
  </si>
  <si>
    <t>1. Savivaldybės biudžetas (įskaitant skolintas lėšas) </t>
  </si>
  <si>
    <t>Iš jo: </t>
  </si>
  <si>
    <t>1.1. savivaldybės biudžeto lėšos (nuosavos, be ankstesnių metų likučio) </t>
  </si>
  <si>
    <t>1.2. Lietuvos Respublikos valstybės biudžeto dotacijos </t>
  </si>
  <si>
    <t>1.3. Pajamų įmokos ir kitos pajamos </t>
  </si>
  <si>
    <t>1.4. Europos Sąjungos ir kitos tarptautinės finansinės paramos lėšos </t>
  </si>
  <si>
    <t>1.5. Skolintos lėšos </t>
  </si>
  <si>
    <t>1.6. Ankstesnių metų likučiai </t>
  </si>
  <si>
    <t>1.7. Tikslinės paskirties pajamos </t>
  </si>
  <si>
    <t>2. Kiti šaltiniai (Europos Sąjungos finansinė parama projektams įgyvendinti ir kitos teisėtai gautos lėšos, nurodant atskirus šaltinius) </t>
  </si>
  <si>
    <r>
      <t xml:space="preserve">IŠ VISO programai finansuoti pagal finansavimo šaltinius </t>
    </r>
    <r>
      <rPr>
        <i/>
        <sz val="9"/>
        <rFont val="Times New Roman"/>
        <family val="1"/>
      </rPr>
      <t>(1 ir 2 punktai)</t>
    </r>
    <r>
      <rPr>
        <sz val="9"/>
        <rFont val="Times New Roman"/>
        <family val="1"/>
      </rPr>
      <t> </t>
    </r>
  </si>
  <si>
    <t>60 816,0 </t>
  </si>
  <si>
    <t>63 490,3 </t>
  </si>
  <si>
    <t>62 430,4 </t>
  </si>
  <si>
    <t>Iš jų: regioninių pažangos priemonių lėšos </t>
  </si>
  <si>
    <t>Asignavimų ir kitų lėšų pokytis, palyginti su ankstesnių metų patvirtintų asignavimų ir kitų lėšų planu </t>
  </si>
  <si>
    <t> </t>
  </si>
  <si>
    <r>
      <t>IŠ VISO:</t>
    </r>
    <r>
      <rPr>
        <sz val="9"/>
        <rFont val="Times New Roman"/>
        <family val="1"/>
      </rPr>
      <t> </t>
    </r>
  </si>
  <si>
    <t>KAIŠIADORIŲ RAJONO SAVIVALDYBĖS 2026–2028 METŲ STRATEGINIO VEIKLOS PLANO 02 PROGRAMOS TIKSLŲ, UŽDAVINIŲ, PRIEMONIŲ IR IŠLAIDŲ SUVESTINĖ (tūkst. Eur)</t>
  </si>
  <si>
    <t>PATVIRTINTA                                                 Kaišiadorių rajono savivaldybės tarybos                  2026 m. vasario 19 d. sprendimu Nr. V17E-24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</si>
</sst>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sz val="9"/>
      <color rgb="FF000000"/>
      <name val="Times New Roman"/>
      <family val="1"/>
      <charset val="186"/>
    </font>
    <font>
      <sz val="9"/>
      <color rgb="FF000000"/>
      <name val="Times New Roman"/>
      <family val="1"/>
    </font>
    <font>
      <sz val="9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86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sz val="9"/>
      <name val="Times New Roman"/>
      <family val="1"/>
    </font>
    <font>
      <sz val="9"/>
      <color rgb="FF000000"/>
      <name val="Calibri"/>
      <family val="2"/>
      <scheme val="minor"/>
    </font>
    <font>
      <i/>
      <sz val="8"/>
      <color rgb="FF000000"/>
      <name val="Times New Roman"/>
      <family val="1"/>
      <charset val="186"/>
    </font>
    <font>
      <b/>
      <sz val="9"/>
      <color rgb="FF000000"/>
      <name val="Times New Roman"/>
      <family val="1"/>
    </font>
    <font>
      <b/>
      <sz val="9"/>
      <name val="Times New Roman"/>
      <family val="1"/>
      <charset val="186"/>
    </font>
    <font>
      <b/>
      <sz val="9"/>
      <name val="Times New Roman"/>
      <family val="1"/>
      <charset val="1"/>
    </font>
    <font>
      <sz val="9"/>
      <color rgb="FFFF0000"/>
      <name val="Times New Roman"/>
      <family val="1"/>
      <charset val="1"/>
    </font>
    <font>
      <sz val="8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rgb="FF99CCFF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9E0B4"/>
        <bgColor indexed="64"/>
      </patternFill>
    </fill>
    <fill>
      <patternFill patternType="solid">
        <fgColor rgb="FFDEEAF6"/>
        <bgColor indexed="64"/>
      </patternFill>
    </fill>
  </fills>
  <borders count="2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8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8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8"/>
      </left>
      <right style="thin">
        <color indexed="8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indexed="8"/>
      </bottom>
      <diagonal/>
    </border>
    <border>
      <left style="medium">
        <color rgb="FF000000"/>
      </left>
      <right style="medium">
        <color rgb="FF000000"/>
      </right>
      <top style="medium">
        <color indexed="8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rgb="FF000000"/>
      </top>
      <bottom style="thin">
        <color indexed="8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indexed="8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8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8"/>
      </left>
      <right style="thin">
        <color indexed="8"/>
      </right>
      <top style="medium">
        <color rgb="FF000000"/>
      </top>
      <bottom/>
      <diagonal/>
    </border>
    <border>
      <left style="medium">
        <color indexed="8"/>
      </left>
      <right/>
      <top style="medium">
        <color rgb="FF000000"/>
      </top>
      <bottom/>
      <diagonal/>
    </border>
    <border>
      <left style="medium">
        <color indexed="8"/>
      </left>
      <right style="thin">
        <color indexed="8"/>
      </right>
      <top/>
      <bottom style="medium">
        <color rgb="FF000000"/>
      </bottom>
      <diagonal/>
    </border>
    <border>
      <left style="medium">
        <color indexed="8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</borders>
  <cellStyleXfs count="39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3" borderId="0" applyNumberFormat="0" applyBorder="0" applyAlignment="0" applyProtection="0"/>
    <xf numFmtId="0" fontId="8" fillId="7" borderId="1" applyNumberFormat="0" applyAlignment="0" applyProtection="0"/>
    <xf numFmtId="0" fontId="10" fillId="22" borderId="0" applyNumberFormat="0" applyBorder="0" applyAlignment="0" applyProtection="0"/>
    <xf numFmtId="0" fontId="2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2" fillId="23" borderId="4" applyNumberFormat="0" applyAlignment="0" applyProtection="0"/>
    <xf numFmtId="0" fontId="6" fillId="20" borderId="1" applyNumberFormat="0" applyAlignment="0" applyProtection="0"/>
    <xf numFmtId="0" fontId="9" fillId="0" borderId="3" applyNumberFormat="0" applyFill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0" fontId="12" fillId="0" borderId="0"/>
    <xf numFmtId="9" fontId="2" fillId="0" borderId="0" applyFont="0" applyFill="0" applyBorder="0" applyAlignment="0" applyProtection="0"/>
    <xf numFmtId="0" fontId="1" fillId="0" borderId="0"/>
    <xf numFmtId="0" fontId="1" fillId="0" borderId="0"/>
  </cellStyleXfs>
  <cellXfs count="869">
    <xf numFmtId="0" fontId="0" fillId="0" borderId="0" xfId="0"/>
    <xf numFmtId="49" fontId="16" fillId="29" borderId="50" xfId="0" applyNumberFormat="1" applyFont="1" applyFill="1" applyBorder="1" applyAlignment="1">
      <alignment horizontal="center" vertical="top"/>
    </xf>
    <xf numFmtId="0" fontId="20" fillId="38" borderId="161" xfId="0" applyFont="1" applyFill="1" applyBorder="1" applyAlignment="1">
      <alignment wrapText="1"/>
    </xf>
    <xf numFmtId="0" fontId="20" fillId="38" borderId="162" xfId="0" applyFont="1" applyFill="1" applyBorder="1" applyAlignment="1">
      <alignment wrapText="1"/>
    </xf>
    <xf numFmtId="0" fontId="20" fillId="38" borderId="163" xfId="0" applyFont="1" applyFill="1" applyBorder="1" applyAlignment="1">
      <alignment wrapText="1"/>
    </xf>
    <xf numFmtId="0" fontId="22" fillId="0" borderId="106" xfId="0" applyFont="1" applyBorder="1"/>
    <xf numFmtId="43" fontId="20" fillId="0" borderId="84" xfId="0" applyNumberFormat="1" applyFont="1" applyBorder="1" applyAlignment="1">
      <alignment horizontal="right" wrapText="1"/>
    </xf>
    <xf numFmtId="43" fontId="21" fillId="0" borderId="84" xfId="0" applyNumberFormat="1" applyFont="1" applyBorder="1" applyAlignment="1">
      <alignment horizontal="right" wrapText="1"/>
    </xf>
    <xf numFmtId="43" fontId="19" fillId="0" borderId="84" xfId="0" applyNumberFormat="1" applyFont="1" applyBorder="1" applyAlignment="1">
      <alignment horizontal="right" wrapText="1"/>
    </xf>
    <xf numFmtId="43" fontId="0" fillId="0" borderId="84" xfId="0" applyNumberFormat="1" applyBorder="1" applyAlignment="1">
      <alignment horizontal="right"/>
    </xf>
    <xf numFmtId="43" fontId="11" fillId="0" borderId="84" xfId="0" applyNumberFormat="1" applyFont="1" applyBorder="1" applyAlignment="1">
      <alignment horizontal="right"/>
    </xf>
    <xf numFmtId="2" fontId="13" fillId="26" borderId="33" xfId="0" applyNumberFormat="1" applyFont="1" applyFill="1" applyBorder="1" applyAlignment="1">
      <alignment horizontal="center" vertical="center"/>
    </xf>
    <xf numFmtId="0" fontId="14" fillId="0" borderId="92" xfId="0" applyFont="1" applyBorder="1" applyAlignment="1">
      <alignment horizontal="left" vertical="center" wrapText="1"/>
    </xf>
    <xf numFmtId="0" fontId="25" fillId="0" borderId="0" xfId="0" applyFont="1"/>
    <xf numFmtId="0" fontId="13" fillId="0" borderId="0" xfId="0" applyFont="1" applyAlignment="1">
      <alignment horizontal="center"/>
    </xf>
    <xf numFmtId="2" fontId="25" fillId="0" borderId="0" xfId="0" applyNumberFormat="1" applyFont="1"/>
    <xf numFmtId="2" fontId="17" fillId="25" borderId="36" xfId="0" applyNumberFormat="1" applyFont="1" applyFill="1" applyBorder="1" applyAlignment="1">
      <alignment horizontal="center" vertical="center" wrapText="1"/>
    </xf>
    <xf numFmtId="0" fontId="17" fillId="25" borderId="36" xfId="0" applyFont="1" applyFill="1" applyBorder="1" applyAlignment="1">
      <alignment horizontal="center" vertical="center" wrapText="1"/>
    </xf>
    <xf numFmtId="0" fontId="17" fillId="25" borderId="38" xfId="0" applyFont="1" applyFill="1" applyBorder="1" applyAlignment="1">
      <alignment horizontal="center" vertical="center" wrapText="1"/>
    </xf>
    <xf numFmtId="2" fontId="17" fillId="27" borderId="39" xfId="0" applyNumberFormat="1" applyFont="1" applyFill="1" applyBorder="1" applyAlignment="1">
      <alignment horizontal="center" vertical="center"/>
    </xf>
    <xf numFmtId="2" fontId="13" fillId="25" borderId="92" xfId="0" applyNumberFormat="1" applyFont="1" applyFill="1" applyBorder="1" applyAlignment="1">
      <alignment horizontal="center" vertical="center"/>
    </xf>
    <xf numFmtId="2" fontId="17" fillId="27" borderId="38" xfId="0" applyNumberFormat="1" applyFont="1" applyFill="1" applyBorder="1" applyAlignment="1">
      <alignment horizontal="center" vertical="center"/>
    </xf>
    <xf numFmtId="2" fontId="13" fillId="25" borderId="38" xfId="0" applyNumberFormat="1" applyFont="1" applyFill="1" applyBorder="1" applyAlignment="1">
      <alignment horizontal="center" vertical="center"/>
    </xf>
    <xf numFmtId="2" fontId="13" fillId="26" borderId="39" xfId="0" applyNumberFormat="1" applyFont="1" applyFill="1" applyBorder="1" applyAlignment="1">
      <alignment horizontal="center" vertical="center"/>
    </xf>
    <xf numFmtId="49" fontId="17" fillId="30" borderId="49" xfId="0" applyNumberFormat="1" applyFont="1" applyFill="1" applyBorder="1" applyAlignment="1">
      <alignment horizontal="center" vertical="top"/>
    </xf>
    <xf numFmtId="49" fontId="17" fillId="30" borderId="50" xfId="0" applyNumberFormat="1" applyFont="1" applyFill="1" applyBorder="1" applyAlignment="1">
      <alignment horizontal="center" vertical="top"/>
    </xf>
    <xf numFmtId="49" fontId="17" fillId="30" borderId="33" xfId="0" applyNumberFormat="1" applyFont="1" applyFill="1" applyBorder="1" applyAlignment="1">
      <alignment horizontal="center" vertical="top"/>
    </xf>
    <xf numFmtId="49" fontId="17" fillId="29" borderId="33" xfId="0" applyNumberFormat="1" applyFont="1" applyFill="1" applyBorder="1" applyAlignment="1">
      <alignment horizontal="center" vertical="top"/>
    </xf>
    <xf numFmtId="49" fontId="17" fillId="29" borderId="38" xfId="0" applyNumberFormat="1" applyFont="1" applyFill="1" applyBorder="1" applyAlignment="1">
      <alignment horizontal="center" vertical="top"/>
    </xf>
    <xf numFmtId="49" fontId="17" fillId="30" borderId="38" xfId="0" applyNumberFormat="1" applyFont="1" applyFill="1" applyBorder="1" applyAlignment="1">
      <alignment horizontal="center" vertical="top"/>
    </xf>
    <xf numFmtId="49" fontId="17" fillId="29" borderId="65" xfId="0" applyNumberFormat="1" applyFont="1" applyFill="1" applyBorder="1" applyAlignment="1">
      <alignment horizontal="center" vertical="top"/>
    </xf>
    <xf numFmtId="2" fontId="13" fillId="0" borderId="26" xfId="0" applyNumberFormat="1" applyFont="1" applyBorder="1" applyAlignment="1">
      <alignment horizontal="center" vertical="center"/>
    </xf>
    <xf numFmtId="2" fontId="17" fillId="30" borderId="38" xfId="0" applyNumberFormat="1" applyFont="1" applyFill="1" applyBorder="1" applyAlignment="1">
      <alignment horizontal="center" vertical="center"/>
    </xf>
    <xf numFmtId="0" fontId="26" fillId="0" borderId="0" xfId="35" applyFont="1" applyAlignment="1">
      <alignment horizontal="left"/>
    </xf>
    <xf numFmtId="49" fontId="17" fillId="0" borderId="0" xfId="0" applyNumberFormat="1" applyFont="1" applyAlignment="1">
      <alignment horizontal="right" vertical="top"/>
    </xf>
    <xf numFmtId="49" fontId="17" fillId="0" borderId="0" xfId="0" applyNumberFormat="1" applyFont="1" applyAlignment="1">
      <alignment horizontal="center" vertical="top"/>
    </xf>
    <xf numFmtId="0" fontId="13" fillId="0" borderId="0" xfId="0" applyFont="1" applyAlignment="1">
      <alignment vertical="top"/>
    </xf>
    <xf numFmtId="0" fontId="13" fillId="0" borderId="0" xfId="0" applyFont="1" applyAlignment="1">
      <alignment vertical="top" wrapText="1"/>
    </xf>
    <xf numFmtId="49" fontId="13" fillId="0" borderId="0" xfId="0" applyNumberFormat="1" applyFont="1" applyAlignment="1">
      <alignment horizontal="right" vertical="top"/>
    </xf>
    <xf numFmtId="0" fontId="17" fillId="28" borderId="44" xfId="0" applyFont="1" applyFill="1" applyBorder="1" applyAlignment="1">
      <alignment horizontal="center" vertical="center" wrapText="1"/>
    </xf>
    <xf numFmtId="2" fontId="17" fillId="28" borderId="39" xfId="0" applyNumberFormat="1" applyFont="1" applyFill="1" applyBorder="1" applyAlignment="1">
      <alignment horizontal="center"/>
    </xf>
    <xf numFmtId="166" fontId="17" fillId="28" borderId="39" xfId="0" applyNumberFormat="1" applyFont="1" applyFill="1" applyBorder="1" applyAlignment="1">
      <alignment horizontal="center"/>
    </xf>
    <xf numFmtId="2" fontId="17" fillId="32" borderId="38" xfId="0" applyNumberFormat="1" applyFont="1" applyFill="1" applyBorder="1" applyAlignment="1">
      <alignment horizontal="center"/>
    </xf>
    <xf numFmtId="2" fontId="17" fillId="33" borderId="26" xfId="0" applyNumberFormat="1" applyFont="1" applyFill="1" applyBorder="1" applyAlignment="1">
      <alignment horizontal="center"/>
    </xf>
    <xf numFmtId="2" fontId="13" fillId="0" borderId="52" xfId="0" applyNumberFormat="1" applyFont="1" applyBorder="1" applyAlignment="1">
      <alignment horizontal="center"/>
    </xf>
    <xf numFmtId="2" fontId="13" fillId="0" borderId="38" xfId="0" applyNumberFormat="1" applyFont="1" applyBorder="1" applyAlignment="1">
      <alignment horizontal="center"/>
    </xf>
    <xf numFmtId="2" fontId="13" fillId="0" borderId="26" xfId="0" applyNumberFormat="1" applyFont="1" applyBorder="1" applyAlignment="1">
      <alignment horizontal="center"/>
    </xf>
    <xf numFmtId="2" fontId="17" fillId="28" borderId="38" xfId="0" applyNumberFormat="1" applyFont="1" applyFill="1" applyBorder="1" applyAlignment="1">
      <alignment horizontal="center"/>
    </xf>
    <xf numFmtId="0" fontId="25" fillId="0" borderId="0" xfId="0" applyFont="1" applyAlignment="1">
      <alignment horizontal="center"/>
    </xf>
    <xf numFmtId="2" fontId="13" fillId="0" borderId="0" xfId="0" applyNumberFormat="1" applyFont="1"/>
    <xf numFmtId="14" fontId="13" fillId="0" borderId="0" xfId="0" applyNumberFormat="1" applyFont="1"/>
    <xf numFmtId="0" fontId="17" fillId="31" borderId="136" xfId="0" applyFont="1" applyFill="1" applyBorder="1" applyAlignment="1">
      <alignment vertical="top"/>
    </xf>
    <xf numFmtId="0" fontId="17" fillId="31" borderId="111" xfId="0" applyFont="1" applyFill="1" applyBorder="1" applyAlignment="1">
      <alignment vertical="top" wrapText="1"/>
    </xf>
    <xf numFmtId="2" fontId="17" fillId="31" borderId="111" xfId="0" applyNumberFormat="1" applyFont="1" applyFill="1" applyBorder="1" applyAlignment="1">
      <alignment vertical="top" wrapText="1"/>
    </xf>
    <xf numFmtId="0" fontId="17" fillId="31" borderId="144" xfId="0" applyFont="1" applyFill="1" applyBorder="1" applyAlignment="1">
      <alignment vertical="top" wrapText="1"/>
    </xf>
    <xf numFmtId="0" fontId="17" fillId="30" borderId="24" xfId="0" applyFont="1" applyFill="1" applyBorder="1" applyAlignment="1">
      <alignment vertical="top"/>
    </xf>
    <xf numFmtId="0" fontId="17" fillId="30" borderId="0" xfId="0" applyFont="1" applyFill="1" applyAlignment="1">
      <alignment vertical="top"/>
    </xf>
    <xf numFmtId="2" fontId="17" fillId="30" borderId="0" xfId="0" applyNumberFormat="1" applyFont="1" applyFill="1" applyAlignment="1">
      <alignment vertical="top"/>
    </xf>
    <xf numFmtId="0" fontId="17" fillId="30" borderId="37" xfId="0" applyFont="1" applyFill="1" applyBorder="1" applyAlignment="1">
      <alignment vertical="top"/>
    </xf>
    <xf numFmtId="49" fontId="17" fillId="30" borderId="81" xfId="0" applyNumberFormat="1" applyFont="1" applyFill="1" applyBorder="1" applyAlignment="1">
      <alignment horizontal="center" vertical="top"/>
    </xf>
    <xf numFmtId="49" fontId="17" fillId="29" borderId="110" xfId="0" applyNumberFormat="1" applyFont="1" applyFill="1" applyBorder="1" applyAlignment="1">
      <alignment horizontal="center" vertical="top"/>
    </xf>
    <xf numFmtId="49" fontId="16" fillId="30" borderId="39" xfId="0" applyNumberFormat="1" applyFont="1" applyFill="1" applyBorder="1" applyAlignment="1">
      <alignment horizontal="center" vertical="top"/>
    </xf>
    <xf numFmtId="0" fontId="14" fillId="0" borderId="93" xfId="0" applyFont="1" applyBorder="1" applyAlignment="1">
      <alignment horizontal="left" vertical="center" wrapText="1"/>
    </xf>
    <xf numFmtId="0" fontId="14" fillId="0" borderId="95" xfId="0" applyFont="1" applyBorder="1" applyAlignment="1">
      <alignment horizontal="left" vertical="center" wrapText="1"/>
    </xf>
    <xf numFmtId="0" fontId="14" fillId="0" borderId="98" xfId="0" applyFont="1" applyBorder="1" applyAlignment="1">
      <alignment horizontal="left" vertical="center" wrapText="1"/>
    </xf>
    <xf numFmtId="49" fontId="16" fillId="30" borderId="33" xfId="0" applyNumberFormat="1" applyFont="1" applyFill="1" applyBorder="1" applyAlignment="1">
      <alignment horizontal="center" vertical="top"/>
    </xf>
    <xf numFmtId="49" fontId="16" fillId="29" borderId="33" xfId="0" applyNumberFormat="1" applyFont="1" applyFill="1" applyBorder="1" applyAlignment="1">
      <alignment horizontal="center" vertical="top"/>
    </xf>
    <xf numFmtId="49" fontId="16" fillId="30" borderId="38" xfId="0" applyNumberFormat="1" applyFont="1" applyFill="1" applyBorder="1" applyAlignment="1">
      <alignment horizontal="center" vertical="top"/>
    </xf>
    <xf numFmtId="49" fontId="16" fillId="29" borderId="49" xfId="0" applyNumberFormat="1" applyFont="1" applyFill="1" applyBorder="1" applyAlignment="1">
      <alignment horizontal="center" vertical="top"/>
    </xf>
    <xf numFmtId="49" fontId="16" fillId="29" borderId="23" xfId="0" applyNumberFormat="1" applyFont="1" applyFill="1" applyBorder="1" applyAlignment="1">
      <alignment horizontal="center" vertical="top"/>
    </xf>
    <xf numFmtId="49" fontId="16" fillId="29" borderId="0" xfId="0" applyNumberFormat="1" applyFont="1" applyFill="1" applyAlignment="1">
      <alignment horizontal="center" vertical="top"/>
    </xf>
    <xf numFmtId="49" fontId="16" fillId="36" borderId="47" xfId="0" applyNumberFormat="1" applyFont="1" applyFill="1" applyBorder="1" applyAlignment="1">
      <alignment horizontal="center" vertical="top"/>
    </xf>
    <xf numFmtId="49" fontId="27" fillId="29" borderId="33" xfId="0" applyNumberFormat="1" applyFont="1" applyFill="1" applyBorder="1" applyAlignment="1">
      <alignment horizontal="center" vertical="top"/>
    </xf>
    <xf numFmtId="49" fontId="27" fillId="29" borderId="49" xfId="0" applyNumberFormat="1" applyFont="1" applyFill="1" applyBorder="1" applyAlignment="1">
      <alignment horizontal="left" vertical="top"/>
    </xf>
    <xf numFmtId="49" fontId="27" fillId="29" borderId="50" xfId="0" applyNumberFormat="1" applyFont="1" applyFill="1" applyBorder="1" applyAlignment="1">
      <alignment horizontal="center" vertical="top"/>
    </xf>
    <xf numFmtId="49" fontId="16" fillId="29" borderId="49" xfId="0" applyNumberFormat="1" applyFont="1" applyFill="1" applyBorder="1" applyAlignment="1">
      <alignment horizontal="left" vertical="top"/>
    </xf>
    <xf numFmtId="2" fontId="17" fillId="29" borderId="15" xfId="0" applyNumberFormat="1" applyFont="1" applyFill="1" applyBorder="1" applyAlignment="1">
      <alignment horizontal="center" vertical="top"/>
    </xf>
    <xf numFmtId="2" fontId="17" fillId="29" borderId="9" xfId="0" applyNumberFormat="1" applyFont="1" applyFill="1" applyBorder="1" applyAlignment="1">
      <alignment horizontal="center" vertical="top"/>
    </xf>
    <xf numFmtId="2" fontId="17" fillId="29" borderId="78" xfId="0" applyNumberFormat="1" applyFont="1" applyFill="1" applyBorder="1" applyAlignment="1">
      <alignment horizontal="center" vertical="top"/>
    </xf>
    <xf numFmtId="49" fontId="17" fillId="30" borderId="44" xfId="0" applyNumberFormat="1" applyFont="1" applyFill="1" applyBorder="1" applyAlignment="1">
      <alignment horizontal="right" vertical="top"/>
    </xf>
    <xf numFmtId="2" fontId="17" fillId="30" borderId="38" xfId="0" applyNumberFormat="1" applyFont="1" applyFill="1" applyBorder="1" applyAlignment="1">
      <alignment horizontal="center" vertical="top"/>
    </xf>
    <xf numFmtId="2" fontId="17" fillId="30" borderId="49" xfId="0" applyNumberFormat="1" applyFont="1" applyFill="1" applyBorder="1" applyAlignment="1">
      <alignment horizontal="center" vertical="top"/>
    </xf>
    <xf numFmtId="2" fontId="17" fillId="30" borderId="153" xfId="0" applyNumberFormat="1" applyFont="1" applyFill="1" applyBorder="1" applyAlignment="1">
      <alignment horizontal="center" vertical="top"/>
    </xf>
    <xf numFmtId="49" fontId="17" fillId="30" borderId="23" xfId="0" applyNumberFormat="1" applyFont="1" applyFill="1" applyBorder="1" applyAlignment="1">
      <alignment horizontal="center" vertical="top"/>
    </xf>
    <xf numFmtId="49" fontId="16" fillId="29" borderId="38" xfId="0" applyNumberFormat="1" applyFont="1" applyFill="1" applyBorder="1" applyAlignment="1">
      <alignment horizontal="center" vertical="top"/>
    </xf>
    <xf numFmtId="49" fontId="16" fillId="29" borderId="22" xfId="0" applyNumberFormat="1" applyFont="1" applyFill="1" applyBorder="1" applyAlignment="1">
      <alignment horizontal="left" vertical="top"/>
    </xf>
    <xf numFmtId="49" fontId="16" fillId="30" borderId="108" xfId="0" applyNumberFormat="1" applyFont="1" applyFill="1" applyBorder="1" applyAlignment="1">
      <alignment horizontal="center" vertical="top"/>
    </xf>
    <xf numFmtId="49" fontId="16" fillId="29" borderId="73" xfId="0" applyNumberFormat="1" applyFont="1" applyFill="1" applyBorder="1" applyAlignment="1">
      <alignment horizontal="center" vertical="top"/>
    </xf>
    <xf numFmtId="49" fontId="16" fillId="29" borderId="37" xfId="0" applyNumberFormat="1" applyFont="1" applyFill="1" applyBorder="1" applyAlignment="1">
      <alignment horizontal="center" vertical="top"/>
    </xf>
    <xf numFmtId="49" fontId="17" fillId="31" borderId="61" xfId="0" applyNumberFormat="1" applyFont="1" applyFill="1" applyBorder="1" applyAlignment="1">
      <alignment horizontal="center" vertical="top"/>
    </xf>
    <xf numFmtId="49" fontId="17" fillId="0" borderId="0" xfId="0" applyNumberFormat="1" applyFont="1" applyAlignment="1">
      <alignment vertical="top"/>
    </xf>
    <xf numFmtId="0" fontId="13" fillId="0" borderId="0" xfId="0" applyFont="1" applyAlignment="1">
      <alignment horizontal="right" vertical="top" wrapText="1"/>
    </xf>
    <xf numFmtId="2" fontId="17" fillId="32" borderId="44" xfId="0" applyNumberFormat="1" applyFont="1" applyFill="1" applyBorder="1" applyAlignment="1">
      <alignment horizontal="center"/>
    </xf>
    <xf numFmtId="2" fontId="13" fillId="0" borderId="44" xfId="0" applyNumberFormat="1" applyFont="1" applyBorder="1" applyAlignment="1">
      <alignment horizontal="center"/>
    </xf>
    <xf numFmtId="2" fontId="13" fillId="0" borderId="56" xfId="0" applyNumberFormat="1" applyFont="1" applyBorder="1" applyAlignment="1">
      <alignment horizontal="center"/>
    </xf>
    <xf numFmtId="0" fontId="13" fillId="0" borderId="0" xfId="0" applyFont="1"/>
    <xf numFmtId="2" fontId="17" fillId="27" borderId="108" xfId="0" applyNumberFormat="1" applyFont="1" applyFill="1" applyBorder="1" applyAlignment="1">
      <alignment horizontal="center" vertical="center"/>
    </xf>
    <xf numFmtId="0" fontId="17" fillId="27" borderId="79" xfId="0" applyFont="1" applyFill="1" applyBorder="1" applyAlignment="1">
      <alignment horizontal="center" vertical="center"/>
    </xf>
    <xf numFmtId="2" fontId="13" fillId="26" borderId="95" xfId="0" applyNumberFormat="1" applyFont="1" applyFill="1" applyBorder="1" applyAlignment="1">
      <alignment horizontal="center" vertical="center"/>
    </xf>
    <xf numFmtId="0" fontId="13" fillId="25" borderId="52" xfId="0" applyFont="1" applyFill="1" applyBorder="1" applyAlignment="1">
      <alignment horizontal="center" vertical="center"/>
    </xf>
    <xf numFmtId="2" fontId="13" fillId="26" borderId="52" xfId="0" applyNumberFormat="1" applyFont="1" applyFill="1" applyBorder="1" applyAlignment="1">
      <alignment horizontal="center" vertical="center"/>
    </xf>
    <xf numFmtId="0" fontId="13" fillId="25" borderId="39" xfId="0" applyFont="1" applyFill="1" applyBorder="1" applyAlignment="1">
      <alignment horizontal="center" vertical="center"/>
    </xf>
    <xf numFmtId="2" fontId="13" fillId="26" borderId="92" xfId="0" applyNumberFormat="1" applyFont="1" applyFill="1" applyBorder="1" applyAlignment="1">
      <alignment horizontal="center" vertical="center"/>
    </xf>
    <xf numFmtId="2" fontId="17" fillId="27" borderId="115" xfId="0" applyNumberFormat="1" applyFont="1" applyFill="1" applyBorder="1" applyAlignment="1">
      <alignment horizontal="center" vertical="center"/>
    </xf>
    <xf numFmtId="2" fontId="17" fillId="27" borderId="74" xfId="0" applyNumberFormat="1" applyFont="1" applyFill="1" applyBorder="1" applyAlignment="1">
      <alignment horizontal="center" vertical="center"/>
    </xf>
    <xf numFmtId="0" fontId="13" fillId="25" borderId="39" xfId="0" applyFont="1" applyFill="1" applyBorder="1" applyAlignment="1">
      <alignment horizontal="center" vertical="center" wrapText="1"/>
    </xf>
    <xf numFmtId="2" fontId="13" fillId="0" borderId="38" xfId="0" applyNumberFormat="1" applyFont="1" applyBorder="1" applyAlignment="1">
      <alignment horizontal="center" vertical="center"/>
    </xf>
    <xf numFmtId="2" fontId="13" fillId="25" borderId="86" xfId="0" applyNumberFormat="1" applyFont="1" applyFill="1" applyBorder="1" applyAlignment="1">
      <alignment horizontal="center" vertical="center"/>
    </xf>
    <xf numFmtId="2" fontId="13" fillId="25" borderId="95" xfId="0" applyNumberFormat="1" applyFont="1" applyFill="1" applyBorder="1" applyAlignment="1">
      <alignment horizontal="center" vertical="center"/>
    </xf>
    <xf numFmtId="2" fontId="13" fillId="25" borderId="93" xfId="0" applyNumberFormat="1" applyFont="1" applyFill="1" applyBorder="1" applyAlignment="1">
      <alignment horizontal="center" vertical="center"/>
    </xf>
    <xf numFmtId="49" fontId="17" fillId="29" borderId="136" xfId="0" applyNumberFormat="1" applyFont="1" applyFill="1" applyBorder="1" applyAlignment="1">
      <alignment horizontal="center" vertical="top"/>
    </xf>
    <xf numFmtId="2" fontId="17" fillId="27" borderId="78" xfId="0" applyNumberFormat="1" applyFont="1" applyFill="1" applyBorder="1" applyAlignment="1">
      <alignment horizontal="center" vertical="center"/>
    </xf>
    <xf numFmtId="2" fontId="13" fillId="0" borderId="39" xfId="0" applyNumberFormat="1" applyFont="1" applyBorder="1" applyAlignment="1">
      <alignment horizontal="center" vertical="center"/>
    </xf>
    <xf numFmtId="2" fontId="17" fillId="28" borderId="38" xfId="0" applyNumberFormat="1" applyFont="1" applyFill="1" applyBorder="1" applyAlignment="1">
      <alignment horizontal="center" vertical="center"/>
    </xf>
    <xf numFmtId="2" fontId="13" fillId="26" borderId="69" xfId="0" applyNumberFormat="1" applyFont="1" applyFill="1" applyBorder="1" applyAlignment="1">
      <alignment horizontal="center" vertical="center"/>
    </xf>
    <xf numFmtId="2" fontId="17" fillId="27" borderId="33" xfId="0" applyNumberFormat="1" applyFont="1" applyFill="1" applyBorder="1" applyAlignment="1">
      <alignment horizontal="center" vertical="center"/>
    </xf>
    <xf numFmtId="0" fontId="15" fillId="25" borderId="52" xfId="0" applyFont="1" applyFill="1" applyBorder="1" applyAlignment="1">
      <alignment horizontal="center" vertical="center"/>
    </xf>
    <xf numFmtId="2" fontId="13" fillId="25" borderId="52" xfId="0" applyNumberFormat="1" applyFont="1" applyFill="1" applyBorder="1" applyAlignment="1">
      <alignment horizontal="center" vertical="center"/>
    </xf>
    <xf numFmtId="0" fontId="17" fillId="35" borderId="122" xfId="0" applyFont="1" applyFill="1" applyBorder="1" applyAlignment="1">
      <alignment horizontal="center" vertical="center"/>
    </xf>
    <xf numFmtId="2" fontId="17" fillId="35" borderId="108" xfId="0" applyNumberFormat="1" applyFont="1" applyFill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127" xfId="0" applyFont="1" applyBorder="1" applyAlignment="1">
      <alignment horizontal="center" vertical="center"/>
    </xf>
    <xf numFmtId="0" fontId="17" fillId="28" borderId="122" xfId="0" applyFont="1" applyFill="1" applyBorder="1" applyAlignment="1">
      <alignment horizontal="center" vertical="center"/>
    </xf>
    <xf numFmtId="2" fontId="17" fillId="28" borderId="108" xfId="0" applyNumberFormat="1" applyFont="1" applyFill="1" applyBorder="1" applyAlignment="1">
      <alignment horizontal="center" vertical="center"/>
    </xf>
    <xf numFmtId="2" fontId="17" fillId="28" borderId="119" xfId="0" applyNumberFormat="1" applyFont="1" applyFill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17" fillId="28" borderId="86" xfId="0" applyFont="1" applyFill="1" applyBorder="1" applyAlignment="1">
      <alignment horizontal="center" vertical="center"/>
    </xf>
    <xf numFmtId="2" fontId="17" fillId="28" borderId="118" xfId="0" applyNumberFormat="1" applyFont="1" applyFill="1" applyBorder="1" applyAlignment="1">
      <alignment horizontal="center" vertical="center"/>
    </xf>
    <xf numFmtId="2" fontId="17" fillId="28" borderId="126" xfId="0" applyNumberFormat="1" applyFont="1" applyFill="1" applyBorder="1" applyAlignment="1">
      <alignment horizontal="center" vertical="center"/>
    </xf>
    <xf numFmtId="0" fontId="13" fillId="25" borderId="95" xfId="0" applyFont="1" applyFill="1" applyBorder="1" applyAlignment="1">
      <alignment horizontal="center" vertical="center"/>
    </xf>
    <xf numFmtId="49" fontId="16" fillId="29" borderId="0" xfId="0" applyNumberFormat="1" applyFont="1" applyFill="1" applyAlignment="1">
      <alignment vertical="center"/>
    </xf>
    <xf numFmtId="49" fontId="16" fillId="29" borderId="37" xfId="0" applyNumberFormat="1" applyFont="1" applyFill="1" applyBorder="1" applyAlignment="1">
      <alignment vertical="center"/>
    </xf>
    <xf numFmtId="0" fontId="15" fillId="25" borderId="52" xfId="0" applyFont="1" applyFill="1" applyBorder="1" applyAlignment="1">
      <alignment horizontal="center" vertical="center" wrapText="1"/>
    </xf>
    <xf numFmtId="0" fontId="17" fillId="28" borderId="33" xfId="0" applyFont="1" applyFill="1" applyBorder="1" applyAlignment="1">
      <alignment horizontal="center" vertical="center"/>
    </xf>
    <xf numFmtId="49" fontId="16" fillId="29" borderId="37" xfId="0" applyNumberFormat="1" applyFont="1" applyFill="1" applyBorder="1" applyAlignment="1">
      <alignment horizontal="right" vertical="center"/>
    </xf>
    <xf numFmtId="2" fontId="16" fillId="29" borderId="39" xfId="0" applyNumberFormat="1" applyFont="1" applyFill="1" applyBorder="1" applyAlignment="1">
      <alignment horizontal="center" vertical="center"/>
    </xf>
    <xf numFmtId="49" fontId="27" fillId="29" borderId="50" xfId="0" applyNumberFormat="1" applyFont="1" applyFill="1" applyBorder="1" applyAlignment="1">
      <alignment horizontal="right" vertical="center"/>
    </xf>
    <xf numFmtId="2" fontId="16" fillId="29" borderId="50" xfId="0" applyNumberFormat="1" applyFont="1" applyFill="1" applyBorder="1" applyAlignment="1">
      <alignment horizontal="center" vertical="center"/>
    </xf>
    <xf numFmtId="49" fontId="16" fillId="29" borderId="50" xfId="0" applyNumberFormat="1" applyFont="1" applyFill="1" applyBorder="1" applyAlignment="1">
      <alignment horizontal="center" vertical="center"/>
    </xf>
    <xf numFmtId="49" fontId="16" fillId="29" borderId="65" xfId="0" applyNumberFormat="1" applyFont="1" applyFill="1" applyBorder="1" applyAlignment="1">
      <alignment horizontal="center" vertical="center"/>
    </xf>
    <xf numFmtId="49" fontId="16" fillId="29" borderId="65" xfId="0" applyNumberFormat="1" applyFont="1" applyFill="1" applyBorder="1" applyAlignment="1">
      <alignment horizontal="right" vertical="center"/>
    </xf>
    <xf numFmtId="2" fontId="16" fillId="29" borderId="47" xfId="0" applyNumberFormat="1" applyFont="1" applyFill="1" applyBorder="1" applyAlignment="1">
      <alignment horizontal="center" vertical="center"/>
    </xf>
    <xf numFmtId="49" fontId="16" fillId="29" borderId="50" xfId="0" applyNumberFormat="1" applyFont="1" applyFill="1" applyBorder="1" applyAlignment="1">
      <alignment horizontal="right" vertical="center"/>
    </xf>
    <xf numFmtId="0" fontId="15" fillId="25" borderId="47" xfId="0" applyFont="1" applyFill="1" applyBorder="1" applyAlignment="1">
      <alignment horizontal="center" vertical="center"/>
    </xf>
    <xf numFmtId="2" fontId="13" fillId="26" borderId="66" xfId="0" applyNumberFormat="1" applyFont="1" applyFill="1" applyBorder="1" applyAlignment="1">
      <alignment horizontal="center" vertical="center"/>
    </xf>
    <xf numFmtId="0" fontId="16" fillId="27" borderId="115" xfId="0" applyFont="1" applyFill="1" applyBorder="1" applyAlignment="1">
      <alignment horizontal="center" vertical="center"/>
    </xf>
    <xf numFmtId="2" fontId="17" fillId="27" borderId="130" xfId="0" applyNumberFormat="1" applyFont="1" applyFill="1" applyBorder="1" applyAlignment="1">
      <alignment horizontal="center" vertical="center"/>
    </xf>
    <xf numFmtId="2" fontId="17" fillId="27" borderId="143" xfId="0" applyNumberFormat="1" applyFont="1" applyFill="1" applyBorder="1" applyAlignment="1">
      <alignment horizontal="center" vertical="center"/>
    </xf>
    <xf numFmtId="0" fontId="14" fillId="0" borderId="103" xfId="0" applyFont="1" applyBorder="1" applyAlignment="1">
      <alignment horizontal="left" vertical="center" wrapText="1"/>
    </xf>
    <xf numFmtId="2" fontId="13" fillId="0" borderId="93" xfId="0" applyNumberFormat="1" applyFont="1" applyBorder="1" applyAlignment="1">
      <alignment horizontal="center" vertical="center"/>
    </xf>
    <xf numFmtId="0" fontId="16" fillId="27" borderId="131" xfId="0" applyFont="1" applyFill="1" applyBorder="1" applyAlignment="1">
      <alignment horizontal="center" vertical="center"/>
    </xf>
    <xf numFmtId="2" fontId="13" fillId="26" borderId="14" xfId="0" applyNumberFormat="1" applyFont="1" applyFill="1" applyBorder="1" applyAlignment="1">
      <alignment horizontal="center" vertical="center"/>
    </xf>
    <xf numFmtId="2" fontId="13" fillId="26" borderId="142" xfId="0" applyNumberFormat="1" applyFont="1" applyFill="1" applyBorder="1" applyAlignment="1">
      <alignment horizontal="center" vertical="center"/>
    </xf>
    <xf numFmtId="2" fontId="13" fillId="26" borderId="90" xfId="0" applyNumberFormat="1" applyFont="1" applyFill="1" applyBorder="1" applyAlignment="1">
      <alignment horizontal="center" vertical="center"/>
    </xf>
    <xf numFmtId="2" fontId="13" fillId="26" borderId="91" xfId="0" applyNumberFormat="1" applyFont="1" applyFill="1" applyBorder="1" applyAlignment="1">
      <alignment horizontal="center" vertical="center"/>
    </xf>
    <xf numFmtId="2" fontId="13" fillId="26" borderId="85" xfId="0" applyNumberFormat="1" applyFont="1" applyFill="1" applyBorder="1" applyAlignment="1">
      <alignment horizontal="center" vertical="center"/>
    </xf>
    <xf numFmtId="0" fontId="15" fillId="25" borderId="86" xfId="0" applyFont="1" applyFill="1" applyBorder="1" applyAlignment="1">
      <alignment horizontal="center" vertical="center"/>
    </xf>
    <xf numFmtId="2" fontId="17" fillId="29" borderId="15" xfId="0" applyNumberFormat="1" applyFont="1" applyFill="1" applyBorder="1" applyAlignment="1">
      <alignment horizontal="center" vertical="center"/>
    </xf>
    <xf numFmtId="2" fontId="17" fillId="29" borderId="9" xfId="0" applyNumberFormat="1" applyFont="1" applyFill="1" applyBorder="1" applyAlignment="1">
      <alignment horizontal="center" vertical="center"/>
    </xf>
    <xf numFmtId="49" fontId="16" fillId="29" borderId="37" xfId="0" applyNumberFormat="1" applyFont="1" applyFill="1" applyBorder="1" applyAlignment="1">
      <alignment horizontal="center" vertical="center"/>
    </xf>
    <xf numFmtId="2" fontId="17" fillId="31" borderId="30" xfId="0" applyNumberFormat="1" applyFont="1" applyFill="1" applyBorder="1" applyAlignment="1">
      <alignment horizontal="center" vertical="center"/>
    </xf>
    <xf numFmtId="2" fontId="17" fillId="31" borderId="61" xfId="0" applyNumberFormat="1" applyFont="1" applyFill="1" applyBorder="1" applyAlignment="1">
      <alignment horizontal="center" vertical="center"/>
    </xf>
    <xf numFmtId="2" fontId="17" fillId="29" borderId="27" xfId="0" applyNumberFormat="1" applyFont="1" applyFill="1" applyBorder="1" applyAlignment="1">
      <alignment horizontal="center" vertical="center"/>
    </xf>
    <xf numFmtId="2" fontId="13" fillId="26" borderId="20" xfId="0" applyNumberFormat="1" applyFont="1" applyFill="1" applyBorder="1" applyAlignment="1">
      <alignment horizontal="center" vertical="center"/>
    </xf>
    <xf numFmtId="0" fontId="13" fillId="25" borderId="92" xfId="0" applyFont="1" applyFill="1" applyBorder="1" applyAlignment="1">
      <alignment horizontal="center" vertical="center"/>
    </xf>
    <xf numFmtId="0" fontId="13" fillId="25" borderId="26" xfId="0" applyFont="1" applyFill="1" applyBorder="1" applyAlignment="1">
      <alignment horizontal="center" vertical="center"/>
    </xf>
    <xf numFmtId="0" fontId="17" fillId="27" borderId="122" xfId="0" applyFont="1" applyFill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5" fillId="0" borderId="126" xfId="0" applyFont="1" applyBorder="1" applyAlignment="1">
      <alignment horizontal="left" vertical="center" wrapText="1"/>
    </xf>
    <xf numFmtId="0" fontId="14" fillId="0" borderId="71" xfId="0" applyFont="1" applyBorder="1" applyAlignment="1">
      <alignment horizontal="left" vertical="center" wrapText="1"/>
    </xf>
    <xf numFmtId="0" fontId="14" fillId="0" borderId="106" xfId="0" applyFont="1" applyBorder="1" applyAlignment="1">
      <alignment horizontal="left" vertical="center" wrapText="1"/>
    </xf>
    <xf numFmtId="0" fontId="14" fillId="0" borderId="96" xfId="0" applyFont="1" applyBorder="1" applyAlignment="1">
      <alignment horizontal="left" vertical="center" wrapText="1"/>
    </xf>
    <xf numFmtId="0" fontId="14" fillId="0" borderId="97" xfId="0" applyFont="1" applyBorder="1" applyAlignment="1">
      <alignment horizontal="left" vertical="center" wrapText="1"/>
    </xf>
    <xf numFmtId="0" fontId="14" fillId="0" borderId="97" xfId="0" applyFont="1" applyBorder="1" applyAlignment="1">
      <alignment vertical="center" wrapText="1"/>
    </xf>
    <xf numFmtId="0" fontId="14" fillId="0" borderId="96" xfId="0" applyFont="1" applyBorder="1" applyAlignment="1">
      <alignment vertical="center" wrapText="1"/>
    </xf>
    <xf numFmtId="0" fontId="14" fillId="0" borderId="71" xfId="0" applyFont="1" applyBorder="1" applyAlignment="1">
      <alignment vertical="center" wrapText="1"/>
    </xf>
    <xf numFmtId="0" fontId="15" fillId="0" borderId="71" xfId="0" applyFont="1" applyBorder="1" applyAlignment="1">
      <alignment horizontal="left" vertical="center" wrapText="1"/>
    </xf>
    <xf numFmtId="0" fontId="14" fillId="0" borderId="113" xfId="0" applyFont="1" applyBorder="1" applyAlignment="1">
      <alignment horizontal="left" vertical="center" wrapText="1"/>
    </xf>
    <xf numFmtId="0" fontId="14" fillId="0" borderId="91" xfId="0" applyFont="1" applyBorder="1" applyAlignment="1">
      <alignment vertical="center" wrapText="1"/>
    </xf>
    <xf numFmtId="0" fontId="14" fillId="0" borderId="89" xfId="0" applyFont="1" applyBorder="1" applyAlignment="1">
      <alignment vertical="center" wrapText="1"/>
    </xf>
    <xf numFmtId="0" fontId="14" fillId="0" borderId="114" xfId="0" applyFont="1" applyBorder="1" applyAlignment="1">
      <alignment vertical="center" wrapText="1"/>
    </xf>
    <xf numFmtId="0" fontId="14" fillId="0" borderId="90" xfId="0" applyFont="1" applyBorder="1" applyAlignment="1">
      <alignment vertical="center" wrapText="1"/>
    </xf>
    <xf numFmtId="0" fontId="13" fillId="25" borderId="148" xfId="0" applyFont="1" applyFill="1" applyBorder="1" applyAlignment="1">
      <alignment horizontal="center" vertical="center"/>
    </xf>
    <xf numFmtId="0" fontId="13" fillId="25" borderId="100" xfId="0" applyFont="1" applyFill="1" applyBorder="1" applyAlignment="1">
      <alignment horizontal="center" vertical="center"/>
    </xf>
    <xf numFmtId="0" fontId="13" fillId="25" borderId="150" xfId="0" applyFont="1" applyFill="1" applyBorder="1" applyAlignment="1">
      <alignment horizontal="center" vertical="center"/>
    </xf>
    <xf numFmtId="2" fontId="17" fillId="28" borderId="38" xfId="0" applyNumberFormat="1" applyFont="1" applyFill="1" applyBorder="1" applyAlignment="1">
      <alignment horizontal="center" vertical="center" wrapText="1"/>
    </xf>
    <xf numFmtId="0" fontId="17" fillId="28" borderId="38" xfId="0" applyFont="1" applyFill="1" applyBorder="1" applyAlignment="1">
      <alignment horizontal="center" vertical="center" wrapText="1"/>
    </xf>
    <xf numFmtId="0" fontId="13" fillId="25" borderId="33" xfId="0" applyFont="1" applyFill="1" applyBorder="1" applyAlignment="1">
      <alignment horizontal="center" vertical="center"/>
    </xf>
    <xf numFmtId="2" fontId="13" fillId="26" borderId="26" xfId="0" applyNumberFormat="1" applyFont="1" applyFill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25" borderId="63" xfId="0" applyFont="1" applyFill="1" applyBorder="1" applyAlignment="1">
      <alignment horizontal="center" vertical="center" wrapText="1"/>
    </xf>
    <xf numFmtId="0" fontId="13" fillId="25" borderId="26" xfId="0" applyFont="1" applyFill="1" applyBorder="1" applyAlignment="1">
      <alignment horizontal="center" vertical="center" wrapText="1"/>
    </xf>
    <xf numFmtId="2" fontId="17" fillId="27" borderId="49" xfId="0" applyNumberFormat="1" applyFont="1" applyFill="1" applyBorder="1" applyAlignment="1">
      <alignment horizontal="center" vertical="center"/>
    </xf>
    <xf numFmtId="2" fontId="17" fillId="27" borderId="153" xfId="0" applyNumberFormat="1" applyFont="1" applyFill="1" applyBorder="1" applyAlignment="1">
      <alignment horizontal="center" vertical="center"/>
    </xf>
    <xf numFmtId="2" fontId="13" fillId="25" borderId="26" xfId="0" applyNumberFormat="1" applyFont="1" applyFill="1" applyBorder="1" applyAlignment="1">
      <alignment horizontal="center" vertical="center"/>
    </xf>
    <xf numFmtId="2" fontId="13" fillId="25" borderId="146" xfId="0" applyNumberFormat="1" applyFont="1" applyFill="1" applyBorder="1" applyAlignment="1">
      <alignment horizontal="center" vertical="center"/>
    </xf>
    <xf numFmtId="0" fontId="15" fillId="0" borderId="165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center" vertical="center"/>
    </xf>
    <xf numFmtId="165" fontId="13" fillId="34" borderId="42" xfId="35" applyNumberFormat="1" applyFont="1" applyFill="1" applyBorder="1" applyAlignment="1">
      <alignment vertical="center" wrapText="1"/>
    </xf>
    <xf numFmtId="2" fontId="13" fillId="26" borderId="118" xfId="0" applyNumberFormat="1" applyFont="1" applyFill="1" applyBorder="1" applyAlignment="1">
      <alignment horizontal="center" vertical="center"/>
    </xf>
    <xf numFmtId="2" fontId="13" fillId="0" borderId="169" xfId="0" applyNumberFormat="1" applyFont="1" applyBorder="1" applyAlignment="1">
      <alignment horizontal="center" vertical="center"/>
    </xf>
    <xf numFmtId="2" fontId="13" fillId="0" borderId="170" xfId="0" applyNumberFormat="1" applyFont="1" applyBorder="1" applyAlignment="1">
      <alignment horizontal="center" vertical="center"/>
    </xf>
    <xf numFmtId="2" fontId="13" fillId="0" borderId="171" xfId="0" applyNumberFormat="1" applyFont="1" applyBorder="1" applyAlignment="1">
      <alignment horizontal="center" vertical="center"/>
    </xf>
    <xf numFmtId="2" fontId="28" fillId="28" borderId="38" xfId="0" applyNumberFormat="1" applyFont="1" applyFill="1" applyBorder="1" applyAlignment="1">
      <alignment horizontal="center"/>
    </xf>
    <xf numFmtId="2" fontId="11" fillId="26" borderId="154" xfId="0" applyNumberFormat="1" applyFont="1" applyFill="1" applyBorder="1" applyAlignment="1">
      <alignment horizontal="center" vertical="center"/>
    </xf>
    <xf numFmtId="49" fontId="15" fillId="25" borderId="52" xfId="0" applyNumberFormat="1" applyFont="1" applyFill="1" applyBorder="1" applyAlignment="1">
      <alignment horizontal="center" vertical="center"/>
    </xf>
    <xf numFmtId="0" fontId="13" fillId="0" borderId="54" xfId="0" applyFont="1" applyBorder="1" applyAlignment="1">
      <alignment vertical="center" wrapText="1"/>
    </xf>
    <xf numFmtId="0" fontId="16" fillId="27" borderId="86" xfId="0" applyFont="1" applyFill="1" applyBorder="1" applyAlignment="1">
      <alignment horizontal="center" vertical="center"/>
    </xf>
    <xf numFmtId="2" fontId="17" fillId="27" borderId="152" xfId="0" applyNumberFormat="1" applyFont="1" applyFill="1" applyBorder="1" applyAlignment="1">
      <alignment horizontal="center" vertical="center"/>
    </xf>
    <xf numFmtId="0" fontId="13" fillId="25" borderId="33" xfId="0" applyFont="1" applyFill="1" applyBorder="1" applyAlignment="1">
      <alignment horizontal="center" vertical="center" wrapText="1"/>
    </xf>
    <xf numFmtId="0" fontId="13" fillId="25" borderId="52" xfId="0" applyFont="1" applyFill="1" applyBorder="1" applyAlignment="1">
      <alignment horizontal="center" vertical="center" wrapText="1"/>
    </xf>
    <xf numFmtId="2" fontId="17" fillId="28" borderId="33" xfId="0" applyNumberFormat="1" applyFont="1" applyFill="1" applyBorder="1" applyAlignment="1">
      <alignment horizontal="center" vertical="center"/>
    </xf>
    <xf numFmtId="0" fontId="15" fillId="25" borderId="38" xfId="0" applyFont="1" applyFill="1" applyBorder="1" applyAlignment="1">
      <alignment horizontal="center" vertical="center"/>
    </xf>
    <xf numFmtId="2" fontId="13" fillId="25" borderId="49" xfId="0" applyNumberFormat="1" applyFont="1" applyFill="1" applyBorder="1" applyAlignment="1">
      <alignment horizontal="center" vertical="center"/>
    </xf>
    <xf numFmtId="0" fontId="13" fillId="25" borderId="37" xfId="0" applyFont="1" applyFill="1" applyBorder="1" applyAlignment="1">
      <alignment horizontal="center" vertical="center" wrapText="1"/>
    </xf>
    <xf numFmtId="0" fontId="14" fillId="25" borderId="100" xfId="0" applyFont="1" applyFill="1" applyBorder="1" applyAlignment="1">
      <alignment horizontal="left" vertical="center" wrapText="1"/>
    </xf>
    <xf numFmtId="2" fontId="17" fillId="27" borderId="119" xfId="0" applyNumberFormat="1" applyFont="1" applyFill="1" applyBorder="1" applyAlignment="1">
      <alignment horizontal="center" vertical="center"/>
    </xf>
    <xf numFmtId="2" fontId="17" fillId="29" borderId="79" xfId="0" applyNumberFormat="1" applyFont="1" applyFill="1" applyBorder="1" applyAlignment="1">
      <alignment horizontal="center" vertical="center"/>
    </xf>
    <xf numFmtId="49" fontId="16" fillId="29" borderId="24" xfId="0" applyNumberFormat="1" applyFont="1" applyFill="1" applyBorder="1" applyAlignment="1">
      <alignment horizontal="center" vertical="top"/>
    </xf>
    <xf numFmtId="49" fontId="16" fillId="29" borderId="23" xfId="0" applyNumberFormat="1" applyFont="1" applyFill="1" applyBorder="1" applyAlignment="1">
      <alignment vertical="top"/>
    </xf>
    <xf numFmtId="49" fontId="16" fillId="29" borderId="88" xfId="0" applyNumberFormat="1" applyFont="1" applyFill="1" applyBorder="1" applyAlignment="1">
      <alignment vertical="top"/>
    </xf>
    <xf numFmtId="49" fontId="16" fillId="29" borderId="99" xfId="0" applyNumberFormat="1" applyFont="1" applyFill="1" applyBorder="1" applyAlignment="1">
      <alignment vertical="center"/>
    </xf>
    <xf numFmtId="0" fontId="13" fillId="25" borderId="93" xfId="0" applyFont="1" applyFill="1" applyBorder="1" applyAlignment="1">
      <alignment horizontal="center" vertical="center"/>
    </xf>
    <xf numFmtId="165" fontId="13" fillId="0" borderId="52" xfId="35" applyNumberFormat="1" applyFont="1" applyBorder="1" applyAlignment="1">
      <alignment horizontal="left" vertical="center" wrapText="1"/>
    </xf>
    <xf numFmtId="49" fontId="15" fillId="25" borderId="92" xfId="0" applyNumberFormat="1" applyFont="1" applyFill="1" applyBorder="1" applyAlignment="1">
      <alignment horizontal="center" vertical="center"/>
    </xf>
    <xf numFmtId="49" fontId="15" fillId="25" borderId="93" xfId="0" applyNumberFormat="1" applyFont="1" applyFill="1" applyBorder="1" applyAlignment="1">
      <alignment horizontal="center" vertical="center"/>
    </xf>
    <xf numFmtId="2" fontId="15" fillId="25" borderId="92" xfId="0" applyNumberFormat="1" applyFont="1" applyFill="1" applyBorder="1" applyAlignment="1">
      <alignment horizontal="center" vertical="center"/>
    </xf>
    <xf numFmtId="2" fontId="15" fillId="25" borderId="93" xfId="0" applyNumberFormat="1" applyFont="1" applyFill="1" applyBorder="1" applyAlignment="1">
      <alignment horizontal="center" vertical="center"/>
    </xf>
    <xf numFmtId="49" fontId="17" fillId="30" borderId="115" xfId="0" applyNumberFormat="1" applyFont="1" applyFill="1" applyBorder="1" applyAlignment="1">
      <alignment horizontal="center" vertical="top"/>
    </xf>
    <xf numFmtId="2" fontId="17" fillId="29" borderId="130" xfId="0" applyNumberFormat="1" applyFont="1" applyFill="1" applyBorder="1" applyAlignment="1">
      <alignment horizontal="center" vertical="top"/>
    </xf>
    <xf numFmtId="2" fontId="17" fillId="29" borderId="143" xfId="0" applyNumberFormat="1" applyFont="1" applyFill="1" applyBorder="1" applyAlignment="1">
      <alignment horizontal="center" vertical="top"/>
    </xf>
    <xf numFmtId="2" fontId="17" fillId="29" borderId="112" xfId="0" applyNumberFormat="1" applyFont="1" applyFill="1" applyBorder="1" applyAlignment="1">
      <alignment horizontal="center" vertical="top"/>
    </xf>
    <xf numFmtId="0" fontId="16" fillId="27" borderId="122" xfId="0" applyFont="1" applyFill="1" applyBorder="1" applyAlignment="1">
      <alignment horizontal="center" vertical="center"/>
    </xf>
    <xf numFmtId="2" fontId="17" fillId="27" borderId="174" xfId="0" applyNumberFormat="1" applyFont="1" applyFill="1" applyBorder="1" applyAlignment="1">
      <alignment horizontal="center" vertical="center"/>
    </xf>
    <xf numFmtId="2" fontId="17" fillId="27" borderId="175" xfId="0" applyNumberFormat="1" applyFont="1" applyFill="1" applyBorder="1" applyAlignment="1">
      <alignment horizontal="center" vertical="center"/>
    </xf>
    <xf numFmtId="49" fontId="16" fillId="29" borderId="24" xfId="0" applyNumberFormat="1" applyFont="1" applyFill="1" applyBorder="1" applyAlignment="1">
      <alignment horizontal="left" vertical="top"/>
    </xf>
    <xf numFmtId="49" fontId="16" fillId="29" borderId="43" xfId="0" applyNumberFormat="1" applyFont="1" applyFill="1" applyBorder="1" applyAlignment="1">
      <alignment horizontal="center" vertical="top"/>
    </xf>
    <xf numFmtId="2" fontId="16" fillId="29" borderId="43" xfId="0" applyNumberFormat="1" applyFont="1" applyFill="1" applyBorder="1" applyAlignment="1">
      <alignment horizontal="center" vertical="top"/>
    </xf>
    <xf numFmtId="0" fontId="15" fillId="0" borderId="115" xfId="0" applyFont="1" applyBorder="1" applyAlignment="1">
      <alignment horizontal="center" vertical="center"/>
    </xf>
    <xf numFmtId="2" fontId="13" fillId="0" borderId="130" xfId="0" applyNumberFormat="1" applyFont="1" applyBorder="1" applyAlignment="1">
      <alignment horizontal="center" vertical="center"/>
    </xf>
    <xf numFmtId="49" fontId="16" fillId="29" borderId="42" xfId="0" applyNumberFormat="1" applyFont="1" applyFill="1" applyBorder="1" applyAlignment="1">
      <alignment horizontal="center" vertical="top"/>
    </xf>
    <xf numFmtId="2" fontId="16" fillId="29" borderId="42" xfId="0" applyNumberFormat="1" applyFont="1" applyFill="1" applyBorder="1" applyAlignment="1">
      <alignment horizontal="center" vertical="center"/>
    </xf>
    <xf numFmtId="49" fontId="16" fillId="29" borderId="42" xfId="0" applyNumberFormat="1" applyFont="1" applyFill="1" applyBorder="1" applyAlignment="1">
      <alignment horizontal="center" vertical="center"/>
    </xf>
    <xf numFmtId="0" fontId="16" fillId="27" borderId="79" xfId="0" applyFont="1" applyFill="1" applyBorder="1" applyAlignment="1">
      <alignment horizontal="center" vertical="center"/>
    </xf>
    <xf numFmtId="2" fontId="17" fillId="27" borderId="176" xfId="0" applyNumberFormat="1" applyFont="1" applyFill="1" applyBorder="1" applyAlignment="1">
      <alignment horizontal="center" vertical="center"/>
    </xf>
    <xf numFmtId="2" fontId="17" fillId="27" borderId="177" xfId="0" applyNumberFormat="1" applyFont="1" applyFill="1" applyBorder="1" applyAlignment="1">
      <alignment horizontal="center" vertical="center"/>
    </xf>
    <xf numFmtId="2" fontId="15" fillId="25" borderId="95" xfId="0" applyNumberFormat="1" applyFont="1" applyFill="1" applyBorder="1" applyAlignment="1">
      <alignment horizontal="center" vertical="center"/>
    </xf>
    <xf numFmtId="0" fontId="13" fillId="25" borderId="94" xfId="0" applyFont="1" applyFill="1" applyBorder="1" applyAlignment="1">
      <alignment horizontal="center" vertical="center" wrapText="1"/>
    </xf>
    <xf numFmtId="0" fontId="13" fillId="25" borderId="116" xfId="0" applyFont="1" applyFill="1" applyBorder="1" applyAlignment="1">
      <alignment horizontal="center" vertical="center" wrapText="1"/>
    </xf>
    <xf numFmtId="0" fontId="13" fillId="25" borderId="107" xfId="0" applyFont="1" applyFill="1" applyBorder="1" applyAlignment="1">
      <alignment horizontal="center" vertical="center" wrapText="1"/>
    </xf>
    <xf numFmtId="2" fontId="17" fillId="28" borderId="47" xfId="0" applyNumberFormat="1" applyFont="1" applyFill="1" applyBorder="1" applyAlignment="1">
      <alignment horizontal="center" vertical="center"/>
    </xf>
    <xf numFmtId="0" fontId="17" fillId="28" borderId="115" xfId="0" applyFont="1" applyFill="1" applyBorder="1" applyAlignment="1">
      <alignment horizontal="center" vertical="center"/>
    </xf>
    <xf numFmtId="2" fontId="17" fillId="28" borderId="76" xfId="0" applyNumberFormat="1" applyFont="1" applyFill="1" applyBorder="1" applyAlignment="1">
      <alignment horizontal="center" vertical="center"/>
    </xf>
    <xf numFmtId="0" fontId="15" fillId="0" borderId="93" xfId="0" applyFont="1" applyBorder="1" applyAlignment="1">
      <alignment horizontal="center" vertical="center"/>
    </xf>
    <xf numFmtId="0" fontId="15" fillId="0" borderId="141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2" fontId="13" fillId="0" borderId="94" xfId="0" applyNumberFormat="1" applyFont="1" applyBorder="1" applyAlignment="1">
      <alignment horizontal="center" vertical="center"/>
    </xf>
    <xf numFmtId="2" fontId="13" fillId="26" borderId="126" xfId="0" applyNumberFormat="1" applyFont="1" applyFill="1" applyBorder="1" applyAlignment="1">
      <alignment horizontal="center" vertical="center"/>
    </xf>
    <xf numFmtId="0" fontId="17" fillId="28" borderId="87" xfId="0" applyFont="1" applyFill="1" applyBorder="1" applyAlignment="1">
      <alignment horizontal="center" vertical="center"/>
    </xf>
    <xf numFmtId="2" fontId="17" fillId="28" borderId="88" xfId="0" applyNumberFormat="1" applyFont="1" applyFill="1" applyBorder="1" applyAlignment="1">
      <alignment horizontal="center" vertical="center"/>
    </xf>
    <xf numFmtId="2" fontId="17" fillId="28" borderId="112" xfId="0" applyNumberFormat="1" applyFont="1" applyFill="1" applyBorder="1" applyAlignment="1">
      <alignment horizontal="center" vertical="center"/>
    </xf>
    <xf numFmtId="0" fontId="15" fillId="25" borderId="87" xfId="0" applyFont="1" applyFill="1" applyBorder="1" applyAlignment="1">
      <alignment horizontal="center" vertical="center" wrapText="1"/>
    </xf>
    <xf numFmtId="49" fontId="16" fillId="25" borderId="87" xfId="34" quotePrefix="1" applyNumberFormat="1" applyFont="1" applyFill="1" applyBorder="1" applyAlignment="1">
      <alignment horizontal="center" vertical="top"/>
    </xf>
    <xf numFmtId="49" fontId="16" fillId="37" borderId="0" xfId="0" applyNumberFormat="1" applyFont="1" applyFill="1" applyAlignment="1">
      <alignment horizontal="center" vertical="top"/>
    </xf>
    <xf numFmtId="0" fontId="17" fillId="28" borderId="47" xfId="0" applyFont="1" applyFill="1" applyBorder="1" applyAlignment="1">
      <alignment horizontal="center" vertical="center"/>
    </xf>
    <xf numFmtId="2" fontId="28" fillId="28" borderId="47" xfId="0" applyNumberFormat="1" applyFont="1" applyFill="1" applyBorder="1" applyAlignment="1">
      <alignment horizontal="center" vertical="center"/>
    </xf>
    <xf numFmtId="0" fontId="14" fillId="0" borderId="89" xfId="0" applyFont="1" applyBorder="1" applyAlignment="1">
      <alignment horizontal="left" vertical="center" wrapText="1"/>
    </xf>
    <xf numFmtId="49" fontId="16" fillId="36" borderId="83" xfId="0" applyNumberFormat="1" applyFont="1" applyFill="1" applyBorder="1" applyAlignment="1">
      <alignment horizontal="center" vertical="top"/>
    </xf>
    <xf numFmtId="49" fontId="16" fillId="36" borderId="77" xfId="0" applyNumberFormat="1" applyFont="1" applyFill="1" applyBorder="1" applyAlignment="1">
      <alignment horizontal="center" vertical="top"/>
    </xf>
    <xf numFmtId="49" fontId="16" fillId="36" borderId="72" xfId="0" applyNumberFormat="1" applyFont="1" applyFill="1" applyBorder="1" applyAlignment="1">
      <alignment horizontal="center" vertical="top"/>
    </xf>
    <xf numFmtId="0" fontId="15" fillId="25" borderId="86" xfId="0" applyFont="1" applyFill="1" applyBorder="1" applyAlignment="1">
      <alignment horizontal="center" vertical="center" wrapText="1"/>
    </xf>
    <xf numFmtId="49" fontId="16" fillId="25" borderId="86" xfId="34" quotePrefix="1" applyNumberFormat="1" applyFont="1" applyFill="1" applyBorder="1" applyAlignment="1">
      <alignment horizontal="center" vertical="top"/>
    </xf>
    <xf numFmtId="0" fontId="15" fillId="25" borderId="123" xfId="0" applyFont="1" applyFill="1" applyBorder="1" applyAlignment="1">
      <alignment horizontal="center" vertical="center"/>
    </xf>
    <xf numFmtId="2" fontId="13" fillId="26" borderId="112" xfId="0" applyNumberFormat="1" applyFont="1" applyFill="1" applyBorder="1" applyAlignment="1">
      <alignment horizontal="center" vertical="center"/>
    </xf>
    <xf numFmtId="0" fontId="17" fillId="28" borderId="75" xfId="0" applyFont="1" applyFill="1" applyBorder="1" applyAlignment="1">
      <alignment horizontal="center" vertical="center"/>
    </xf>
    <xf numFmtId="2" fontId="17" fillId="28" borderId="136" xfId="0" applyNumberFormat="1" applyFont="1" applyFill="1" applyBorder="1" applyAlignment="1">
      <alignment horizontal="center" vertical="center"/>
    </xf>
    <xf numFmtId="0" fontId="17" fillId="28" borderId="65" xfId="0" applyFont="1" applyFill="1" applyBorder="1" applyAlignment="1">
      <alignment horizontal="center" vertical="center"/>
    </xf>
    <xf numFmtId="2" fontId="17" fillId="27" borderId="180" xfId="0" applyNumberFormat="1" applyFont="1" applyFill="1" applyBorder="1" applyAlignment="1">
      <alignment horizontal="center" vertical="center"/>
    </xf>
    <xf numFmtId="2" fontId="17" fillId="27" borderId="7" xfId="0" applyNumberFormat="1" applyFont="1" applyFill="1" applyBorder="1" applyAlignment="1">
      <alignment horizontal="center" vertical="center"/>
    </xf>
    <xf numFmtId="2" fontId="17" fillId="27" borderId="133" xfId="0" applyNumberFormat="1" applyFont="1" applyFill="1" applyBorder="1" applyAlignment="1">
      <alignment horizontal="center" vertical="center"/>
    </xf>
    <xf numFmtId="2" fontId="17" fillId="28" borderId="83" xfId="0" applyNumberFormat="1" applyFont="1" applyFill="1" applyBorder="1" applyAlignment="1">
      <alignment horizontal="center" vertical="center"/>
    </xf>
    <xf numFmtId="0" fontId="13" fillId="25" borderId="87" xfId="0" applyFont="1" applyFill="1" applyBorder="1" applyAlignment="1">
      <alignment vertical="top" wrapText="1"/>
    </xf>
    <xf numFmtId="0" fontId="13" fillId="25" borderId="88" xfId="0" applyFont="1" applyFill="1" applyBorder="1" applyAlignment="1">
      <alignment vertical="top" wrapText="1"/>
    </xf>
    <xf numFmtId="0" fontId="15" fillId="25" borderId="93" xfId="0" applyFont="1" applyFill="1" applyBorder="1" applyAlignment="1">
      <alignment horizontal="left" vertical="center" wrapText="1"/>
    </xf>
    <xf numFmtId="0" fontId="15" fillId="25" borderId="137" xfId="0" applyFont="1" applyFill="1" applyBorder="1" applyAlignment="1">
      <alignment horizontal="center" vertical="center"/>
    </xf>
    <xf numFmtId="165" fontId="13" fillId="0" borderId="159" xfId="35" applyNumberFormat="1" applyFont="1" applyBorder="1" applyAlignment="1">
      <alignment horizontal="left" vertical="center" wrapText="1"/>
    </xf>
    <xf numFmtId="49" fontId="13" fillId="0" borderId="120" xfId="0" applyNumberFormat="1" applyFont="1" applyBorder="1" applyAlignment="1">
      <alignment vertical="center" wrapText="1"/>
    </xf>
    <xf numFmtId="0" fontId="15" fillId="0" borderId="160" xfId="0" applyFont="1" applyBorder="1" applyAlignment="1">
      <alignment horizontal="center" vertical="center" wrapText="1"/>
    </xf>
    <xf numFmtId="2" fontId="13" fillId="0" borderId="138" xfId="0" applyNumberFormat="1" applyFont="1" applyBorder="1" applyAlignment="1">
      <alignment horizontal="center" vertical="center"/>
    </xf>
    <xf numFmtId="0" fontId="17" fillId="28" borderId="23" xfId="0" applyFont="1" applyFill="1" applyBorder="1" applyAlignment="1">
      <alignment horizontal="center" vertical="center"/>
    </xf>
    <xf numFmtId="2" fontId="29" fillId="28" borderId="77" xfId="0" applyNumberFormat="1" applyFont="1" applyFill="1" applyBorder="1" applyAlignment="1">
      <alignment horizontal="center" vertical="center"/>
    </xf>
    <xf numFmtId="2" fontId="17" fillId="28" borderId="0" xfId="0" applyNumberFormat="1" applyFont="1" applyFill="1" applyAlignment="1">
      <alignment horizontal="center" vertical="center"/>
    </xf>
    <xf numFmtId="2" fontId="17" fillId="28" borderId="78" xfId="0" applyNumberFormat="1" applyFont="1" applyFill="1" applyBorder="1" applyAlignment="1">
      <alignment horizontal="center" vertical="center"/>
    </xf>
    <xf numFmtId="2" fontId="13" fillId="26" borderId="93" xfId="0" applyNumberFormat="1" applyFont="1" applyFill="1" applyBorder="1" applyAlignment="1">
      <alignment horizontal="center" vertical="center"/>
    </xf>
    <xf numFmtId="2" fontId="17" fillId="28" borderId="131" xfId="0" applyNumberFormat="1" applyFont="1" applyFill="1" applyBorder="1" applyAlignment="1">
      <alignment horizontal="center" vertical="center"/>
    </xf>
    <xf numFmtId="2" fontId="17" fillId="28" borderId="102" xfId="0" applyNumberFormat="1" applyFont="1" applyFill="1" applyBorder="1" applyAlignment="1">
      <alignment horizontal="center" vertical="center"/>
    </xf>
    <xf numFmtId="0" fontId="13" fillId="25" borderId="75" xfId="0" applyFont="1" applyFill="1" applyBorder="1" applyAlignment="1">
      <alignment horizontal="center" vertical="center"/>
    </xf>
    <xf numFmtId="2" fontId="13" fillId="25" borderId="47" xfId="0" applyNumberFormat="1" applyFont="1" applyFill="1" applyBorder="1" applyAlignment="1">
      <alignment horizontal="center" vertical="center"/>
    </xf>
    <xf numFmtId="2" fontId="13" fillId="25" borderId="100" xfId="0" applyNumberFormat="1" applyFont="1" applyFill="1" applyBorder="1" applyAlignment="1">
      <alignment horizontal="center" vertical="center"/>
    </xf>
    <xf numFmtId="2" fontId="13" fillId="25" borderId="149" xfId="0" applyNumberFormat="1" applyFont="1" applyFill="1" applyBorder="1" applyAlignment="1">
      <alignment horizontal="center" vertical="center"/>
    </xf>
    <xf numFmtId="0" fontId="17" fillId="28" borderId="39" xfId="0" applyFont="1" applyFill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25" borderId="38" xfId="0" applyFont="1" applyFill="1" applyBorder="1" applyAlignment="1">
      <alignment horizontal="center" vertical="center"/>
    </xf>
    <xf numFmtId="165" fontId="13" fillId="0" borderId="26" xfId="35" applyNumberFormat="1" applyFont="1" applyBorder="1" applyAlignment="1">
      <alignment horizontal="left" vertical="center" wrapText="1"/>
    </xf>
    <xf numFmtId="0" fontId="15" fillId="25" borderId="78" xfId="0" applyFont="1" applyFill="1" applyBorder="1" applyAlignment="1">
      <alignment horizontal="center" vertical="center"/>
    </xf>
    <xf numFmtId="0" fontId="15" fillId="25" borderId="26" xfId="0" applyFont="1" applyFill="1" applyBorder="1" applyAlignment="1">
      <alignment horizontal="center" vertical="center" wrapText="1"/>
    </xf>
    <xf numFmtId="0" fontId="14" fillId="0" borderId="172" xfId="0" applyFont="1" applyBorder="1" applyAlignment="1">
      <alignment horizontal="left" vertical="center" wrapText="1"/>
    </xf>
    <xf numFmtId="0" fontId="14" fillId="0" borderId="113" xfId="0" applyFont="1" applyBorder="1" applyAlignment="1">
      <alignment vertical="center" wrapText="1"/>
    </xf>
    <xf numFmtId="2" fontId="17" fillId="28" borderId="39" xfId="0" applyNumberFormat="1" applyFont="1" applyFill="1" applyBorder="1" applyAlignment="1">
      <alignment horizontal="center" vertical="center"/>
    </xf>
    <xf numFmtId="2" fontId="28" fillId="29" borderId="88" xfId="0" applyNumberFormat="1" applyFont="1" applyFill="1" applyBorder="1" applyAlignment="1">
      <alignment horizontal="center" vertical="center"/>
    </xf>
    <xf numFmtId="0" fontId="17" fillId="28" borderId="38" xfId="0" applyFont="1" applyFill="1" applyBorder="1" applyAlignment="1">
      <alignment horizontal="center" vertical="center"/>
    </xf>
    <xf numFmtId="2" fontId="17" fillId="28" borderId="24" xfId="0" applyNumberFormat="1" applyFont="1" applyFill="1" applyBorder="1" applyAlignment="1">
      <alignment horizontal="center" vertical="center"/>
    </xf>
    <xf numFmtId="2" fontId="13" fillId="25" borderId="33" xfId="0" applyNumberFormat="1" applyFont="1" applyFill="1" applyBorder="1" applyAlignment="1">
      <alignment horizontal="center" vertical="center"/>
    </xf>
    <xf numFmtId="2" fontId="13" fillId="25" borderId="39" xfId="0" applyNumberFormat="1" applyFont="1" applyFill="1" applyBorder="1" applyAlignment="1">
      <alignment horizontal="center" vertical="center"/>
    </xf>
    <xf numFmtId="49" fontId="15" fillId="25" borderId="87" xfId="0" applyNumberFormat="1" applyFont="1" applyFill="1" applyBorder="1" applyAlignment="1">
      <alignment horizontal="center" vertical="center"/>
    </xf>
    <xf numFmtId="165" fontId="13" fillId="0" borderId="39" xfId="35" applyNumberFormat="1" applyFont="1" applyBorder="1" applyAlignment="1">
      <alignment horizontal="left" vertical="center" wrapText="1"/>
    </xf>
    <xf numFmtId="0" fontId="15" fillId="25" borderId="39" xfId="0" applyFont="1" applyFill="1" applyBorder="1" applyAlignment="1">
      <alignment horizontal="center" vertical="center" wrapText="1"/>
    </xf>
    <xf numFmtId="0" fontId="15" fillId="25" borderId="47" xfId="0" applyFont="1" applyFill="1" applyBorder="1" applyAlignment="1">
      <alignment horizontal="center" vertical="center" wrapText="1"/>
    </xf>
    <xf numFmtId="0" fontId="15" fillId="25" borderId="148" xfId="0" applyFont="1" applyFill="1" applyBorder="1" applyAlignment="1">
      <alignment vertical="center" wrapText="1"/>
    </xf>
    <xf numFmtId="2" fontId="15" fillId="25" borderId="87" xfId="0" applyNumberFormat="1" applyFont="1" applyFill="1" applyBorder="1" applyAlignment="1">
      <alignment horizontal="center" vertical="center"/>
    </xf>
    <xf numFmtId="0" fontId="14" fillId="0" borderId="26" xfId="0" applyFont="1" applyBorder="1" applyAlignment="1">
      <alignment horizontal="left" vertical="center" wrapText="1"/>
    </xf>
    <xf numFmtId="2" fontId="17" fillId="28" borderId="87" xfId="0" applyNumberFormat="1" applyFont="1" applyFill="1" applyBorder="1" applyAlignment="1">
      <alignment horizontal="center" vertical="center"/>
    </xf>
    <xf numFmtId="2" fontId="17" fillId="28" borderId="77" xfId="0" applyNumberFormat="1" applyFont="1" applyFill="1" applyBorder="1" applyAlignment="1">
      <alignment horizontal="center" vertical="center"/>
    </xf>
    <xf numFmtId="0" fontId="13" fillId="25" borderId="146" xfId="0" applyFont="1" applyFill="1" applyBorder="1" applyAlignment="1">
      <alignment horizontal="center" vertical="center"/>
    </xf>
    <xf numFmtId="0" fontId="15" fillId="25" borderId="92" xfId="0" applyFont="1" applyFill="1" applyBorder="1" applyAlignment="1">
      <alignment vertical="center" wrapText="1"/>
    </xf>
    <xf numFmtId="0" fontId="15" fillId="25" borderId="117" xfId="0" applyFont="1" applyFill="1" applyBorder="1" applyAlignment="1">
      <alignment vertical="center" wrapText="1"/>
    </xf>
    <xf numFmtId="2" fontId="13" fillId="25" borderId="150" xfId="0" applyNumberFormat="1" applyFont="1" applyFill="1" applyBorder="1" applyAlignment="1">
      <alignment horizontal="center" vertical="center"/>
    </xf>
    <xf numFmtId="0" fontId="15" fillId="25" borderId="39" xfId="0" applyFont="1" applyFill="1" applyBorder="1" applyAlignment="1">
      <alignment vertical="center" wrapText="1"/>
    </xf>
    <xf numFmtId="0" fontId="15" fillId="25" borderId="33" xfId="0" applyFont="1" applyFill="1" applyBorder="1" applyAlignment="1">
      <alignment vertical="center" wrapText="1"/>
    </xf>
    <xf numFmtId="2" fontId="17" fillId="28" borderId="23" xfId="0" applyNumberFormat="1" applyFont="1" applyFill="1" applyBorder="1" applyAlignment="1">
      <alignment horizontal="center" vertical="center"/>
    </xf>
    <xf numFmtId="2" fontId="28" fillId="29" borderId="38" xfId="0" applyNumberFormat="1" applyFont="1" applyFill="1" applyBorder="1" applyAlignment="1">
      <alignment horizontal="center" vertical="center"/>
    </xf>
    <xf numFmtId="0" fontId="15" fillId="25" borderId="26" xfId="0" applyFont="1" applyFill="1" applyBorder="1" applyAlignment="1">
      <alignment horizontal="center" vertical="center"/>
    </xf>
    <xf numFmtId="0" fontId="14" fillId="0" borderId="52" xfId="0" applyFont="1" applyBorder="1" applyAlignment="1">
      <alignment horizontal="left" vertical="center" wrapText="1"/>
    </xf>
    <xf numFmtId="166" fontId="13" fillId="26" borderId="52" xfId="0" applyNumberFormat="1" applyFont="1" applyFill="1" applyBorder="1" applyAlignment="1">
      <alignment horizontal="center" vertical="center"/>
    </xf>
    <xf numFmtId="166" fontId="13" fillId="26" borderId="55" xfId="0" applyNumberFormat="1" applyFont="1" applyFill="1" applyBorder="1" applyAlignment="1">
      <alignment horizontal="center" vertical="center"/>
    </xf>
    <xf numFmtId="166" fontId="13" fillId="0" borderId="26" xfId="0" applyNumberFormat="1" applyFont="1" applyBorder="1" applyAlignment="1">
      <alignment horizontal="center" vertical="center"/>
    </xf>
    <xf numFmtId="166" fontId="13" fillId="0" borderId="33" xfId="0" applyNumberFormat="1" applyFont="1" applyBorder="1" applyAlignment="1">
      <alignment horizontal="center" vertical="center"/>
    </xf>
    <xf numFmtId="166" fontId="13" fillId="26" borderId="26" xfId="0" applyNumberFormat="1" applyFont="1" applyFill="1" applyBorder="1" applyAlignment="1">
      <alignment horizontal="center" vertical="center"/>
    </xf>
    <xf numFmtId="166" fontId="13" fillId="26" borderId="39" xfId="0" applyNumberFormat="1" applyFont="1" applyFill="1" applyBorder="1" applyAlignment="1">
      <alignment horizontal="center" vertical="center"/>
    </xf>
    <xf numFmtId="166" fontId="13" fillId="26" borderId="92" xfId="0" applyNumberFormat="1" applyFont="1" applyFill="1" applyBorder="1" applyAlignment="1">
      <alignment horizontal="center" vertical="center"/>
    </xf>
    <xf numFmtId="166" fontId="13" fillId="26" borderId="94" xfId="0" applyNumberFormat="1" applyFont="1" applyFill="1" applyBorder="1" applyAlignment="1">
      <alignment horizontal="center" vertical="center"/>
    </xf>
    <xf numFmtId="166" fontId="13" fillId="26" borderId="116" xfId="0" applyNumberFormat="1" applyFont="1" applyFill="1" applyBorder="1" applyAlignment="1">
      <alignment horizontal="center" vertical="center"/>
    </xf>
    <xf numFmtId="166" fontId="13" fillId="26" borderId="107" xfId="0" applyNumberFormat="1" applyFont="1" applyFill="1" applyBorder="1" applyAlignment="1">
      <alignment horizontal="center" vertical="center"/>
    </xf>
    <xf numFmtId="166" fontId="13" fillId="26" borderId="33" xfId="0" applyNumberFormat="1" applyFont="1" applyFill="1" applyBorder="1" applyAlignment="1">
      <alignment horizontal="center" vertical="center"/>
    </xf>
    <xf numFmtId="0" fontId="13" fillId="25" borderId="183" xfId="0" applyFont="1" applyFill="1" applyBorder="1" applyAlignment="1">
      <alignment horizontal="center" vertical="center" wrapText="1"/>
    </xf>
    <xf numFmtId="0" fontId="13" fillId="25" borderId="149" xfId="0" applyFont="1" applyFill="1" applyBorder="1" applyAlignment="1">
      <alignment horizontal="center" vertical="center"/>
    </xf>
    <xf numFmtId="49" fontId="15" fillId="25" borderId="94" xfId="0" applyNumberFormat="1" applyFont="1" applyFill="1" applyBorder="1" applyAlignment="1">
      <alignment horizontal="center" vertical="center"/>
    </xf>
    <xf numFmtId="2" fontId="15" fillId="25" borderId="94" xfId="0" applyNumberFormat="1" applyFont="1" applyFill="1" applyBorder="1" applyAlignment="1">
      <alignment horizontal="center" vertical="center"/>
    </xf>
    <xf numFmtId="2" fontId="13" fillId="0" borderId="184" xfId="0" applyNumberFormat="1" applyFont="1" applyBorder="1" applyAlignment="1">
      <alignment horizontal="center"/>
    </xf>
    <xf numFmtId="2" fontId="13" fillId="26" borderId="186" xfId="0" applyNumberFormat="1" applyFont="1" applyFill="1" applyBorder="1" applyAlignment="1">
      <alignment horizontal="center" vertical="center"/>
    </xf>
    <xf numFmtId="2" fontId="13" fillId="26" borderId="187" xfId="0" applyNumberFormat="1" applyFont="1" applyFill="1" applyBorder="1" applyAlignment="1">
      <alignment horizontal="center" vertical="center"/>
    </xf>
    <xf numFmtId="0" fontId="13" fillId="25" borderId="185" xfId="0" applyFont="1" applyFill="1" applyBorder="1" applyAlignment="1">
      <alignment horizontal="center" vertical="center"/>
    </xf>
    <xf numFmtId="0" fontId="13" fillId="25" borderId="192" xfId="0" applyFont="1" applyFill="1" applyBorder="1" applyAlignment="1">
      <alignment horizontal="center" vertical="center" wrapText="1"/>
    </xf>
    <xf numFmtId="2" fontId="13" fillId="25" borderId="185" xfId="0" applyNumberFormat="1" applyFont="1" applyFill="1" applyBorder="1" applyAlignment="1">
      <alignment horizontal="center" vertical="center"/>
    </xf>
    <xf numFmtId="2" fontId="13" fillId="26" borderId="201" xfId="0" applyNumberFormat="1" applyFont="1" applyFill="1" applyBorder="1" applyAlignment="1">
      <alignment horizontal="center" vertical="center"/>
    </xf>
    <xf numFmtId="2" fontId="13" fillId="26" borderId="193" xfId="0" applyNumberFormat="1" applyFont="1" applyFill="1" applyBorder="1" applyAlignment="1">
      <alignment horizontal="center" vertical="center"/>
    </xf>
    <xf numFmtId="2" fontId="13" fillId="26" borderId="192" xfId="0" applyNumberFormat="1" applyFont="1" applyFill="1" applyBorder="1" applyAlignment="1">
      <alignment horizontal="center" vertical="center"/>
    </xf>
    <xf numFmtId="2" fontId="13" fillId="0" borderId="192" xfId="0" applyNumberFormat="1" applyFont="1" applyBorder="1" applyAlignment="1">
      <alignment horizontal="center" vertical="center"/>
    </xf>
    <xf numFmtId="2" fontId="11" fillId="0" borderId="192" xfId="0" applyNumberFormat="1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 wrapText="1"/>
    </xf>
    <xf numFmtId="2" fontId="13" fillId="26" borderId="194" xfId="0" applyNumberFormat="1" applyFont="1" applyFill="1" applyBorder="1" applyAlignment="1">
      <alignment horizontal="center" vertical="center"/>
    </xf>
    <xf numFmtId="0" fontId="14" fillId="0" borderId="195" xfId="0" applyFont="1" applyBorder="1" applyAlignment="1">
      <alignment vertical="top" wrapText="1"/>
    </xf>
    <xf numFmtId="0" fontId="14" fillId="0" borderId="195" xfId="0" applyFont="1" applyBorder="1" applyAlignment="1">
      <alignment horizontal="left" vertical="center" wrapText="1"/>
    </xf>
    <xf numFmtId="0" fontId="13" fillId="25" borderId="191" xfId="0" applyFont="1" applyFill="1" applyBorder="1" applyAlignment="1">
      <alignment horizontal="center" vertical="center" wrapText="1"/>
    </xf>
    <xf numFmtId="166" fontId="13" fillId="26" borderId="191" xfId="0" applyNumberFormat="1" applyFont="1" applyFill="1" applyBorder="1" applyAlignment="1">
      <alignment horizontal="center" vertical="center"/>
    </xf>
    <xf numFmtId="2" fontId="13" fillId="26" borderId="191" xfId="0" applyNumberFormat="1" applyFont="1" applyFill="1" applyBorder="1" applyAlignment="1">
      <alignment horizontal="center" vertical="center"/>
    </xf>
    <xf numFmtId="166" fontId="13" fillId="26" borderId="185" xfId="0" applyNumberFormat="1" applyFont="1" applyFill="1" applyBorder="1" applyAlignment="1">
      <alignment horizontal="center" vertical="center"/>
    </xf>
    <xf numFmtId="0" fontId="13" fillId="25" borderId="185" xfId="0" applyFont="1" applyFill="1" applyBorder="1" applyAlignment="1">
      <alignment horizontal="center" vertical="center" wrapText="1"/>
    </xf>
    <xf numFmtId="0" fontId="14" fillId="0" borderId="192" xfId="0" applyFont="1" applyBorder="1" applyAlignment="1">
      <alignment horizontal="left" vertical="center" wrapText="1"/>
    </xf>
    <xf numFmtId="0" fontId="13" fillId="25" borderId="192" xfId="0" applyFont="1" applyFill="1" applyBorder="1" applyAlignment="1">
      <alignment horizontal="center" vertical="center"/>
    </xf>
    <xf numFmtId="2" fontId="13" fillId="25" borderId="192" xfId="0" applyNumberFormat="1" applyFont="1" applyFill="1" applyBorder="1" applyAlignment="1">
      <alignment horizontal="center" vertical="center"/>
    </xf>
    <xf numFmtId="0" fontId="15" fillId="0" borderId="192" xfId="0" applyFont="1" applyBorder="1" applyAlignment="1">
      <alignment horizontal="left" vertical="center" wrapText="1"/>
    </xf>
    <xf numFmtId="0" fontId="15" fillId="0" borderId="192" xfId="0" applyFont="1" applyBorder="1" applyAlignment="1">
      <alignment vertical="center" wrapText="1"/>
    </xf>
    <xf numFmtId="0" fontId="13" fillId="25" borderId="191" xfId="0" applyFont="1" applyFill="1" applyBorder="1" applyAlignment="1">
      <alignment horizontal="center" vertical="center"/>
    </xf>
    <xf numFmtId="2" fontId="13" fillId="25" borderId="191" xfId="0" applyNumberFormat="1" applyFont="1" applyFill="1" applyBorder="1" applyAlignment="1">
      <alignment horizontal="center" vertical="center"/>
    </xf>
    <xf numFmtId="2" fontId="11" fillId="25" borderId="192" xfId="0" applyNumberFormat="1" applyFont="1" applyFill="1" applyBorder="1" applyAlignment="1">
      <alignment horizontal="center" vertical="center"/>
    </xf>
    <xf numFmtId="0" fontId="14" fillId="0" borderId="192" xfId="0" applyFont="1" applyBorder="1" applyAlignment="1">
      <alignment vertical="center" wrapText="1"/>
    </xf>
    <xf numFmtId="2" fontId="11" fillId="25" borderId="191" xfId="0" applyNumberFormat="1" applyFont="1" applyFill="1" applyBorder="1" applyAlignment="1">
      <alignment horizontal="center" vertical="center"/>
    </xf>
    <xf numFmtId="165" fontId="13" fillId="34" borderId="192" xfId="35" applyNumberFormat="1" applyFont="1" applyFill="1" applyBorder="1" applyAlignment="1">
      <alignment vertical="center" wrapText="1"/>
    </xf>
    <xf numFmtId="0" fontId="15" fillId="0" borderId="196" xfId="0" applyFont="1" applyBorder="1" applyAlignment="1">
      <alignment horizontal="center" vertical="center" wrapText="1"/>
    </xf>
    <xf numFmtId="2" fontId="13" fillId="0" borderId="194" xfId="0" applyNumberFormat="1" applyFont="1" applyBorder="1" applyAlignment="1">
      <alignment horizontal="center" vertical="center"/>
    </xf>
    <xf numFmtId="165" fontId="13" fillId="0" borderId="192" xfId="35" applyNumberFormat="1" applyFont="1" applyBorder="1" applyAlignment="1">
      <alignment horizontal="left" vertical="center" wrapText="1"/>
    </xf>
    <xf numFmtId="0" fontId="15" fillId="25" borderId="192" xfId="0" applyFont="1" applyFill="1" applyBorder="1" applyAlignment="1">
      <alignment horizontal="center" vertical="center" wrapText="1"/>
    </xf>
    <xf numFmtId="165" fontId="13" fillId="0" borderId="204" xfId="35" applyNumberFormat="1" applyFont="1" applyBorder="1" applyAlignment="1">
      <alignment horizontal="left" vertical="center" wrapText="1"/>
    </xf>
    <xf numFmtId="0" fontId="15" fillId="25" borderId="204" xfId="0" applyFont="1" applyFill="1" applyBorder="1" applyAlignment="1">
      <alignment horizontal="center" vertical="center" wrapText="1"/>
    </xf>
    <xf numFmtId="2" fontId="13" fillId="26" borderId="204" xfId="0" applyNumberFormat="1" applyFont="1" applyFill="1" applyBorder="1" applyAlignment="1">
      <alignment horizontal="center" vertical="center"/>
    </xf>
    <xf numFmtId="0" fontId="15" fillId="25" borderId="191" xfId="0" applyFont="1" applyFill="1" applyBorder="1" applyAlignment="1">
      <alignment horizontal="center" vertical="center" wrapText="1"/>
    </xf>
    <xf numFmtId="0" fontId="15" fillId="25" borderId="192" xfId="0" applyFont="1" applyFill="1" applyBorder="1" applyAlignment="1">
      <alignment horizontal="center" vertical="center"/>
    </xf>
    <xf numFmtId="0" fontId="15" fillId="25" borderId="204" xfId="0" applyFont="1" applyFill="1" applyBorder="1" applyAlignment="1">
      <alignment horizontal="center" vertical="center"/>
    </xf>
    <xf numFmtId="0" fontId="13" fillId="0" borderId="204" xfId="0" applyFont="1" applyBorder="1" applyAlignment="1">
      <alignment horizontal="center" vertical="center"/>
    </xf>
    <xf numFmtId="2" fontId="13" fillId="0" borderId="204" xfId="0" applyNumberFormat="1" applyFont="1" applyBorder="1" applyAlignment="1">
      <alignment horizontal="center" vertical="center"/>
    </xf>
    <xf numFmtId="0" fontId="19" fillId="38" borderId="205" xfId="0" applyFont="1" applyFill="1" applyBorder="1" applyAlignment="1">
      <alignment wrapText="1"/>
    </xf>
    <xf numFmtId="0" fontId="19" fillId="38" borderId="199" xfId="0" applyFont="1" applyFill="1" applyBorder="1" applyAlignment="1">
      <alignment wrapText="1"/>
    </xf>
    <xf numFmtId="0" fontId="19" fillId="38" borderId="206" xfId="0" applyFont="1" applyFill="1" applyBorder="1" applyAlignment="1">
      <alignment wrapText="1"/>
    </xf>
    <xf numFmtId="0" fontId="19" fillId="38" borderId="207" xfId="0" applyFont="1" applyFill="1" applyBorder="1" applyAlignment="1">
      <alignment wrapText="1"/>
    </xf>
    <xf numFmtId="0" fontId="20" fillId="0" borderId="205" xfId="0" applyFont="1" applyBorder="1" applyAlignment="1">
      <alignment wrapText="1"/>
    </xf>
    <xf numFmtId="0" fontId="20" fillId="0" borderId="208" xfId="0" applyFont="1" applyBorder="1" applyAlignment="1">
      <alignment wrapText="1"/>
    </xf>
    <xf numFmtId="166" fontId="13" fillId="25" borderId="150" xfId="0" applyNumberFormat="1" applyFont="1" applyFill="1" applyBorder="1" applyAlignment="1">
      <alignment horizontal="center" vertical="center"/>
    </xf>
    <xf numFmtId="166" fontId="13" fillId="25" borderId="100" xfId="0" applyNumberFormat="1" applyFont="1" applyFill="1" applyBorder="1" applyAlignment="1">
      <alignment horizontal="center" vertical="center"/>
    </xf>
    <xf numFmtId="166" fontId="13" fillId="25" borderId="146" xfId="0" applyNumberFormat="1" applyFont="1" applyFill="1" applyBorder="1" applyAlignment="1">
      <alignment horizontal="center" vertical="center"/>
    </xf>
    <xf numFmtId="2" fontId="13" fillId="26" borderId="148" xfId="0" applyNumberFormat="1" applyFont="1" applyFill="1" applyBorder="1" applyAlignment="1">
      <alignment horizontal="center" vertical="center"/>
    </xf>
    <xf numFmtId="2" fontId="13" fillId="26" borderId="150" xfId="0" applyNumberFormat="1" applyFont="1" applyFill="1" applyBorder="1" applyAlignment="1">
      <alignment horizontal="center" vertical="center"/>
    </xf>
    <xf numFmtId="2" fontId="13" fillId="26" borderId="100" xfId="0" applyNumberFormat="1" applyFont="1" applyFill="1" applyBorder="1" applyAlignment="1">
      <alignment horizontal="center" vertical="center"/>
    </xf>
    <xf numFmtId="2" fontId="13" fillId="26" borderId="149" xfId="0" applyNumberFormat="1" applyFont="1" applyFill="1" applyBorder="1" applyAlignment="1">
      <alignment horizontal="center" vertical="center"/>
    </xf>
    <xf numFmtId="166" fontId="13" fillId="26" borderId="51" xfId="0" applyNumberFormat="1" applyFont="1" applyFill="1" applyBorder="1" applyAlignment="1">
      <alignment horizontal="center" vertical="center"/>
    </xf>
    <xf numFmtId="166" fontId="13" fillId="26" borderId="200" xfId="0" applyNumberFormat="1" applyFont="1" applyFill="1" applyBorder="1" applyAlignment="1">
      <alignment horizontal="center" vertical="center"/>
    </xf>
    <xf numFmtId="166" fontId="13" fillId="26" borderId="215" xfId="0" applyNumberFormat="1" applyFont="1" applyFill="1" applyBorder="1" applyAlignment="1">
      <alignment horizontal="center" vertical="center"/>
    </xf>
    <xf numFmtId="166" fontId="13" fillId="26" borderId="148" xfId="0" applyNumberFormat="1" applyFont="1" applyFill="1" applyBorder="1" applyAlignment="1">
      <alignment horizontal="center" vertical="center"/>
    </xf>
    <xf numFmtId="166" fontId="13" fillId="26" borderId="214" xfId="0" applyNumberFormat="1" applyFont="1" applyFill="1" applyBorder="1" applyAlignment="1">
      <alignment horizontal="center" vertical="center"/>
    </xf>
    <xf numFmtId="166" fontId="13" fillId="26" borderId="25" xfId="0" applyNumberFormat="1" applyFont="1" applyFill="1" applyBorder="1" applyAlignment="1">
      <alignment horizontal="center" vertical="center"/>
    </xf>
    <xf numFmtId="166" fontId="13" fillId="26" borderId="204" xfId="0" applyNumberFormat="1" applyFont="1" applyFill="1" applyBorder="1" applyAlignment="1">
      <alignment horizontal="center" vertical="center"/>
    </xf>
    <xf numFmtId="166" fontId="13" fillId="26" borderId="159" xfId="0" applyNumberFormat="1" applyFont="1" applyFill="1" applyBorder="1" applyAlignment="1">
      <alignment horizontal="center" vertical="center"/>
    </xf>
    <xf numFmtId="2" fontId="13" fillId="25" borderId="148" xfId="0" applyNumberFormat="1" applyFont="1" applyFill="1" applyBorder="1" applyAlignment="1">
      <alignment horizontal="center" vertical="center"/>
    </xf>
    <xf numFmtId="2" fontId="15" fillId="25" borderId="148" xfId="0" applyNumberFormat="1" applyFont="1" applyFill="1" applyBorder="1" applyAlignment="1">
      <alignment horizontal="center" vertical="center"/>
    </xf>
    <xf numFmtId="2" fontId="15" fillId="25" borderId="39" xfId="0" applyNumberFormat="1" applyFont="1" applyFill="1" applyBorder="1" applyAlignment="1">
      <alignment horizontal="center" vertical="center"/>
    </xf>
    <xf numFmtId="2" fontId="15" fillId="25" borderId="100" xfId="0" applyNumberFormat="1" applyFont="1" applyFill="1" applyBorder="1" applyAlignment="1">
      <alignment horizontal="center" vertical="center"/>
    </xf>
    <xf numFmtId="2" fontId="15" fillId="25" borderId="213" xfId="0" applyNumberFormat="1" applyFont="1" applyFill="1" applyBorder="1" applyAlignment="1">
      <alignment horizontal="center" vertical="center"/>
    </xf>
    <xf numFmtId="2" fontId="15" fillId="25" borderId="150" xfId="0" applyNumberFormat="1" applyFont="1" applyFill="1" applyBorder="1" applyAlignment="1">
      <alignment horizontal="center" vertical="center"/>
    </xf>
    <xf numFmtId="2" fontId="15" fillId="25" borderId="149" xfId="0" applyNumberFormat="1" applyFont="1" applyFill="1" applyBorder="1" applyAlignment="1">
      <alignment horizontal="center" vertical="center"/>
    </xf>
    <xf numFmtId="2" fontId="17" fillId="28" borderId="72" xfId="0" applyNumberFormat="1" applyFont="1" applyFill="1" applyBorder="1" applyAlignment="1">
      <alignment horizontal="center" vertical="center"/>
    </xf>
    <xf numFmtId="2" fontId="13" fillId="0" borderId="68" xfId="0" applyNumberFormat="1" applyFont="1" applyBorder="1" applyAlignment="1">
      <alignment horizontal="center" vertical="center"/>
    </xf>
    <xf numFmtId="2" fontId="13" fillId="0" borderId="154" xfId="0" applyNumberFormat="1" applyFont="1" applyBorder="1" applyAlignment="1">
      <alignment horizontal="center" vertical="center"/>
    </xf>
    <xf numFmtId="2" fontId="13" fillId="0" borderId="216" xfId="0" applyNumberFormat="1" applyFont="1" applyBorder="1" applyAlignment="1">
      <alignment horizontal="center" vertical="center"/>
    </xf>
    <xf numFmtId="2" fontId="13" fillId="26" borderId="68" xfId="0" applyNumberFormat="1" applyFont="1" applyFill="1" applyBorder="1" applyAlignment="1">
      <alignment horizontal="center" vertical="center"/>
    </xf>
    <xf numFmtId="2" fontId="13" fillId="26" borderId="217" xfId="0" applyNumberFormat="1" applyFont="1" applyFill="1" applyBorder="1" applyAlignment="1">
      <alignment horizontal="center" vertical="center"/>
    </xf>
    <xf numFmtId="2" fontId="13" fillId="0" borderId="149" xfId="0" applyNumberFormat="1" applyFont="1" applyBorder="1" applyAlignment="1">
      <alignment horizontal="center" vertical="center"/>
    </xf>
    <xf numFmtId="0" fontId="15" fillId="0" borderId="87" xfId="0" applyFont="1" applyBorder="1" applyAlignment="1">
      <alignment horizontal="center" vertical="center"/>
    </xf>
    <xf numFmtId="2" fontId="13" fillId="0" borderId="117" xfId="0" applyNumberFormat="1" applyFont="1" applyBorder="1" applyAlignment="1">
      <alignment horizontal="center" vertical="center"/>
    </xf>
    <xf numFmtId="2" fontId="13" fillId="0" borderId="148" xfId="0" applyNumberFormat="1" applyFont="1" applyBorder="1" applyAlignment="1">
      <alignment horizontal="center" vertical="center"/>
    </xf>
    <xf numFmtId="2" fontId="13" fillId="0" borderId="150" xfId="0" applyNumberFormat="1" applyFont="1" applyBorder="1" applyAlignment="1">
      <alignment horizontal="center" vertical="center"/>
    </xf>
    <xf numFmtId="2" fontId="17" fillId="27" borderId="129" xfId="0" applyNumberFormat="1" applyFont="1" applyFill="1" applyBorder="1" applyAlignment="1">
      <alignment horizontal="center" vertical="center"/>
    </xf>
    <xf numFmtId="2" fontId="13" fillId="25" borderId="110" xfId="0" applyNumberFormat="1" applyFont="1" applyFill="1" applyBorder="1" applyAlignment="1">
      <alignment horizontal="center" vertical="center"/>
    </xf>
    <xf numFmtId="2" fontId="13" fillId="25" borderId="218" xfId="0" applyNumberFormat="1" applyFont="1" applyFill="1" applyBorder="1" applyAlignment="1">
      <alignment horizontal="center" vertical="center"/>
    </xf>
    <xf numFmtId="2" fontId="13" fillId="25" borderId="109" xfId="0" applyNumberFormat="1" applyFont="1" applyFill="1" applyBorder="1" applyAlignment="1">
      <alignment horizontal="center" vertical="center"/>
    </xf>
    <xf numFmtId="2" fontId="13" fillId="25" borderId="139" xfId="0" applyNumberFormat="1" applyFont="1" applyFill="1" applyBorder="1" applyAlignment="1">
      <alignment horizontal="center" vertical="center"/>
    </xf>
    <xf numFmtId="2" fontId="13" fillId="25" borderId="182" xfId="0" applyNumberFormat="1" applyFont="1" applyFill="1" applyBorder="1" applyAlignment="1">
      <alignment horizontal="center" vertical="center"/>
    </xf>
    <xf numFmtId="2" fontId="13" fillId="25" borderId="147" xfId="0" applyNumberFormat="1" applyFont="1" applyFill="1" applyBorder="1" applyAlignment="1">
      <alignment horizontal="center" vertical="center"/>
    </xf>
    <xf numFmtId="2" fontId="13" fillId="0" borderId="143" xfId="0" applyNumberFormat="1" applyFont="1" applyBorder="1" applyAlignment="1">
      <alignment horizontal="center" vertical="center"/>
    </xf>
    <xf numFmtId="166" fontId="13" fillId="0" borderId="52" xfId="0" applyNumberFormat="1" applyFont="1" applyBorder="1" applyAlignment="1">
      <alignment horizontal="center"/>
    </xf>
    <xf numFmtId="166" fontId="13" fillId="0" borderId="184" xfId="0" applyNumberFormat="1" applyFont="1" applyBorder="1" applyAlignment="1">
      <alignment horizontal="center"/>
    </xf>
    <xf numFmtId="166" fontId="13" fillId="25" borderId="26" xfId="0" applyNumberFormat="1" applyFont="1" applyFill="1" applyBorder="1" applyAlignment="1">
      <alignment horizontal="center" vertical="center"/>
    </xf>
    <xf numFmtId="166" fontId="13" fillId="25" borderId="192" xfId="0" applyNumberFormat="1" applyFont="1" applyFill="1" applyBorder="1" applyAlignment="1">
      <alignment horizontal="center" vertical="center"/>
    </xf>
    <xf numFmtId="166" fontId="13" fillId="25" borderId="191" xfId="0" applyNumberFormat="1" applyFont="1" applyFill="1" applyBorder="1" applyAlignment="1">
      <alignment horizontal="center" vertical="center"/>
    </xf>
    <xf numFmtId="0" fontId="13" fillId="25" borderId="47" xfId="0" applyFont="1" applyFill="1" applyBorder="1" applyAlignment="1">
      <alignment horizontal="center" textRotation="90" wrapText="1"/>
    </xf>
    <xf numFmtId="0" fontId="13" fillId="0" borderId="29" xfId="0" applyFont="1" applyBorder="1" applyAlignment="1">
      <alignment horizontal="center" textRotation="90" wrapText="1"/>
    </xf>
    <xf numFmtId="0" fontId="14" fillId="0" borderId="0" xfId="0" applyFont="1" applyAlignment="1">
      <alignment horizontal="left" wrapText="1"/>
    </xf>
    <xf numFmtId="0" fontId="14" fillId="0" borderId="47" xfId="0" applyFont="1" applyBorder="1" applyAlignment="1">
      <alignment horizontal="left" vertical="center" wrapText="1"/>
    </xf>
    <xf numFmtId="0" fontId="14" fillId="0" borderId="39" xfId="0" applyFont="1" applyBorder="1" applyAlignment="1">
      <alignment horizontal="left" vertical="center" wrapText="1"/>
    </xf>
    <xf numFmtId="0" fontId="14" fillId="0" borderId="33" xfId="0" applyFont="1" applyBorder="1" applyAlignment="1">
      <alignment horizontal="left" vertical="center" wrapText="1"/>
    </xf>
    <xf numFmtId="0" fontId="14" fillId="0" borderId="77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0" fontId="14" fillId="0" borderId="89" xfId="0" applyFont="1" applyBorder="1" applyAlignment="1">
      <alignment horizontal="left" vertical="center" wrapText="1"/>
    </xf>
    <xf numFmtId="0" fontId="14" fillId="0" borderId="114" xfId="0" applyFont="1" applyBorder="1" applyAlignment="1">
      <alignment horizontal="left" vertical="center" wrapText="1"/>
    </xf>
    <xf numFmtId="49" fontId="17" fillId="29" borderId="23" xfId="0" applyNumberFormat="1" applyFont="1" applyFill="1" applyBorder="1" applyAlignment="1">
      <alignment horizontal="center" vertical="top"/>
    </xf>
    <xf numFmtId="49" fontId="17" fillId="30" borderId="47" xfId="0" applyNumberFormat="1" applyFont="1" applyFill="1" applyBorder="1" applyAlignment="1">
      <alignment horizontal="center" vertical="top"/>
    </xf>
    <xf numFmtId="49" fontId="17" fillId="30" borderId="39" xfId="0" applyNumberFormat="1" applyFont="1" applyFill="1" applyBorder="1" applyAlignment="1">
      <alignment horizontal="center" vertical="top"/>
    </xf>
    <xf numFmtId="49" fontId="17" fillId="29" borderId="47" xfId="0" applyNumberFormat="1" applyFont="1" applyFill="1" applyBorder="1" applyAlignment="1">
      <alignment horizontal="center" vertical="top"/>
    </xf>
    <xf numFmtId="49" fontId="17" fillId="29" borderId="39" xfId="0" applyNumberFormat="1" applyFont="1" applyFill="1" applyBorder="1" applyAlignment="1">
      <alignment horizontal="center" vertical="top"/>
    </xf>
    <xf numFmtId="0" fontId="17" fillId="27" borderId="59" xfId="0" applyFont="1" applyFill="1" applyBorder="1" applyAlignment="1">
      <alignment horizontal="right" vertical="top" wrapText="1"/>
    </xf>
    <xf numFmtId="0" fontId="17" fillId="27" borderId="48" xfId="0" applyFont="1" applyFill="1" applyBorder="1" applyAlignment="1">
      <alignment horizontal="right" vertical="top" wrapText="1"/>
    </xf>
    <xf numFmtId="0" fontId="17" fillId="27" borderId="70" xfId="0" applyFont="1" applyFill="1" applyBorder="1" applyAlignment="1">
      <alignment horizontal="right" vertical="top" wrapText="1"/>
    </xf>
    <xf numFmtId="0" fontId="13" fillId="24" borderId="21" xfId="0" applyFont="1" applyFill="1" applyBorder="1" applyAlignment="1">
      <alignment horizontal="left" vertical="top" wrapText="1"/>
    </xf>
    <xf numFmtId="0" fontId="13" fillId="24" borderId="41" xfId="0" applyFont="1" applyFill="1" applyBorder="1" applyAlignment="1">
      <alignment horizontal="left" vertical="top" wrapText="1"/>
    </xf>
    <xf numFmtId="0" fontId="13" fillId="24" borderId="32" xfId="0" applyFont="1" applyFill="1" applyBorder="1" applyAlignment="1">
      <alignment horizontal="left" vertical="top" wrapText="1"/>
    </xf>
    <xf numFmtId="0" fontId="17" fillId="31" borderId="49" xfId="0" applyFont="1" applyFill="1" applyBorder="1" applyAlignment="1">
      <alignment horizontal="right" vertical="top" wrapText="1"/>
    </xf>
    <xf numFmtId="0" fontId="17" fillId="31" borderId="50" xfId="0" applyFont="1" applyFill="1" applyBorder="1" applyAlignment="1">
      <alignment horizontal="right" vertical="top" wrapText="1"/>
    </xf>
    <xf numFmtId="0" fontId="17" fillId="31" borderId="44" xfId="0" applyFont="1" applyFill="1" applyBorder="1" applyAlignment="1">
      <alignment horizontal="right" vertical="top" wrapText="1"/>
    </xf>
    <xf numFmtId="0" fontId="17" fillId="33" borderId="34" xfId="0" applyFont="1" applyFill="1" applyBorder="1" applyAlignment="1">
      <alignment horizontal="left" vertical="top" wrapText="1"/>
    </xf>
    <xf numFmtId="0" fontId="17" fillId="33" borderId="31" xfId="0" applyFont="1" applyFill="1" applyBorder="1" applyAlignment="1">
      <alignment horizontal="left" vertical="top" wrapText="1"/>
    </xf>
    <xf numFmtId="0" fontId="17" fillId="28" borderId="49" xfId="0" applyFont="1" applyFill="1" applyBorder="1" applyAlignment="1">
      <alignment horizontal="center" vertical="top" wrapText="1"/>
    </xf>
    <xf numFmtId="0" fontId="17" fillId="28" borderId="50" xfId="0" applyFont="1" applyFill="1" applyBorder="1" applyAlignment="1">
      <alignment horizontal="center" vertical="top" wrapText="1"/>
    </xf>
    <xf numFmtId="0" fontId="13" fillId="0" borderId="28" xfId="0" applyFont="1" applyBorder="1" applyAlignment="1">
      <alignment horizontal="left" vertical="top" wrapText="1"/>
    </xf>
    <xf numFmtId="0" fontId="13" fillId="0" borderId="17" xfId="0" applyFont="1" applyBorder="1" applyAlignment="1">
      <alignment horizontal="left" vertical="top" wrapText="1"/>
    </xf>
    <xf numFmtId="0" fontId="13" fillId="0" borderId="62" xfId="0" applyFont="1" applyBorder="1" applyAlignment="1">
      <alignment horizontal="left" vertical="top" wrapText="1"/>
    </xf>
    <xf numFmtId="0" fontId="17" fillId="27" borderId="23" xfId="0" applyFont="1" applyFill="1" applyBorder="1" applyAlignment="1">
      <alignment horizontal="left" vertical="top" wrapText="1"/>
    </xf>
    <xf numFmtId="0" fontId="17" fillId="27" borderId="0" xfId="0" applyFont="1" applyFill="1" applyAlignment="1">
      <alignment horizontal="left" vertical="top" wrapText="1"/>
    </xf>
    <xf numFmtId="0" fontId="14" fillId="0" borderId="83" xfId="0" applyFont="1" applyBorder="1" applyAlignment="1">
      <alignment horizontal="left" vertical="center" wrapText="1"/>
    </xf>
    <xf numFmtId="0" fontId="14" fillId="25" borderId="89" xfId="0" applyFont="1" applyFill="1" applyBorder="1" applyAlignment="1">
      <alignment horizontal="left" vertical="center" wrapText="1"/>
    </xf>
    <xf numFmtId="0" fontId="14" fillId="25" borderId="114" xfId="0" applyFont="1" applyFill="1" applyBorder="1" applyAlignment="1">
      <alignment horizontal="left" vertical="center" wrapText="1"/>
    </xf>
    <xf numFmtId="0" fontId="15" fillId="0" borderId="47" xfId="0" applyFont="1" applyBorder="1" applyAlignment="1">
      <alignment horizontal="left" vertical="center" wrapText="1"/>
    </xf>
    <xf numFmtId="0" fontId="15" fillId="0" borderId="39" xfId="0" applyFont="1" applyBorder="1" applyAlignment="1">
      <alignment horizontal="left" vertical="center" wrapText="1"/>
    </xf>
    <xf numFmtId="0" fontId="15" fillId="0" borderId="33" xfId="0" applyFont="1" applyBorder="1" applyAlignment="1">
      <alignment horizontal="left" vertical="center" wrapText="1"/>
    </xf>
    <xf numFmtId="0" fontId="15" fillId="0" borderId="7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top" wrapText="1"/>
    </xf>
    <xf numFmtId="2" fontId="13" fillId="25" borderId="197" xfId="0" applyNumberFormat="1" applyFont="1" applyFill="1" applyBorder="1" applyAlignment="1">
      <alignment horizontal="center" textRotation="90" wrapText="1"/>
    </xf>
    <xf numFmtId="0" fontId="13" fillId="25" borderId="198" xfId="0" applyFont="1" applyFill="1" applyBorder="1" applyAlignment="1">
      <alignment horizontal="center" textRotation="90" wrapText="1"/>
    </xf>
    <xf numFmtId="0" fontId="15" fillId="0" borderId="89" xfId="0" applyFont="1" applyBorder="1" applyAlignment="1">
      <alignment horizontal="left" vertical="center" wrapText="1"/>
    </xf>
    <xf numFmtId="0" fontId="15" fillId="25" borderId="11" xfId="0" applyFont="1" applyFill="1" applyBorder="1" applyAlignment="1">
      <alignment horizontal="left" vertical="top" wrapText="1"/>
    </xf>
    <xf numFmtId="0" fontId="15" fillId="25" borderId="18" xfId="0" applyFont="1" applyFill="1" applyBorder="1" applyAlignment="1">
      <alignment horizontal="left" vertical="top" wrapText="1"/>
    </xf>
    <xf numFmtId="0" fontId="14" fillId="25" borderId="34" xfId="0" quotePrefix="1" applyFont="1" applyFill="1" applyBorder="1" applyAlignment="1">
      <alignment horizontal="center" vertical="center"/>
    </xf>
    <xf numFmtId="0" fontId="14" fillId="25" borderId="51" xfId="0" quotePrefix="1" applyFont="1" applyFill="1" applyBorder="1" applyAlignment="1">
      <alignment horizontal="center" vertical="center"/>
    </xf>
    <xf numFmtId="0" fontId="14" fillId="25" borderId="23" xfId="0" quotePrefix="1" applyFont="1" applyFill="1" applyBorder="1" applyAlignment="1">
      <alignment horizontal="center" vertical="center"/>
    </xf>
    <xf numFmtId="0" fontId="13" fillId="25" borderId="200" xfId="0" quotePrefix="1" applyFont="1" applyFill="1" applyBorder="1" applyAlignment="1">
      <alignment horizontal="center" vertical="center"/>
    </xf>
    <xf numFmtId="0" fontId="13" fillId="25" borderId="39" xfId="0" quotePrefix="1" applyFont="1" applyFill="1" applyBorder="1" applyAlignment="1">
      <alignment horizontal="center" vertical="center"/>
    </xf>
    <xf numFmtId="0" fontId="13" fillId="25" borderId="47" xfId="0" quotePrefix="1" applyFont="1" applyFill="1" applyBorder="1" applyAlignment="1">
      <alignment horizontal="center" vertical="center"/>
    </xf>
    <xf numFmtId="0" fontId="13" fillId="25" borderId="47" xfId="0" applyFont="1" applyFill="1" applyBorder="1" applyAlignment="1">
      <alignment horizontal="center" vertical="center"/>
    </xf>
    <xf numFmtId="0" fontId="13" fillId="25" borderId="22" xfId="0" applyFont="1" applyFill="1" applyBorder="1" applyAlignment="1">
      <alignment horizontal="center" vertical="center"/>
    </xf>
    <xf numFmtId="0" fontId="13" fillId="25" borderId="38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0" fontId="15" fillId="0" borderId="73" xfId="0" applyFont="1" applyBorder="1" applyAlignment="1">
      <alignment horizontal="center" vertical="center" wrapText="1"/>
    </xf>
    <xf numFmtId="0" fontId="15" fillId="0" borderId="140" xfId="0" applyFont="1" applyBorder="1" applyAlignment="1">
      <alignment horizontal="center" vertical="center" wrapText="1"/>
    </xf>
    <xf numFmtId="0" fontId="15" fillId="0" borderId="0" xfId="0" quotePrefix="1" applyFont="1" applyAlignment="1">
      <alignment horizontal="center" vertical="center" wrapText="1"/>
    </xf>
    <xf numFmtId="49" fontId="16" fillId="36" borderId="22" xfId="0" applyNumberFormat="1" applyFont="1" applyFill="1" applyBorder="1" applyAlignment="1">
      <alignment horizontal="center" vertical="top"/>
    </xf>
    <xf numFmtId="49" fontId="16" fillId="36" borderId="23" xfId="0" applyNumberFormat="1" applyFont="1" applyFill="1" applyBorder="1" applyAlignment="1">
      <alignment horizontal="center" vertical="top"/>
    </xf>
    <xf numFmtId="49" fontId="16" fillId="36" borderId="24" xfId="0" applyNumberFormat="1" applyFont="1" applyFill="1" applyBorder="1" applyAlignment="1">
      <alignment horizontal="center" vertical="top"/>
    </xf>
    <xf numFmtId="49" fontId="16" fillId="37" borderId="65" xfId="0" applyNumberFormat="1" applyFont="1" applyFill="1" applyBorder="1" applyAlignment="1">
      <alignment horizontal="center" vertical="top"/>
    </xf>
    <xf numFmtId="49" fontId="16" fillId="37" borderId="37" xfId="0" applyNumberFormat="1" applyFont="1" applyFill="1" applyBorder="1" applyAlignment="1">
      <alignment horizontal="center" vertical="top"/>
    </xf>
    <xf numFmtId="49" fontId="16" fillId="37" borderId="131" xfId="0" applyNumberFormat="1" applyFont="1" applyFill="1" applyBorder="1" applyAlignment="1">
      <alignment horizontal="center" vertical="top"/>
    </xf>
    <xf numFmtId="49" fontId="16" fillId="25" borderId="47" xfId="34" quotePrefix="1" applyNumberFormat="1" applyFont="1" applyFill="1" applyBorder="1" applyAlignment="1">
      <alignment horizontal="center" vertical="top"/>
    </xf>
    <xf numFmtId="49" fontId="16" fillId="25" borderId="39" xfId="34" quotePrefix="1" applyNumberFormat="1" applyFont="1" applyFill="1" applyBorder="1" applyAlignment="1">
      <alignment horizontal="center" vertical="top"/>
    </xf>
    <xf numFmtId="49" fontId="16" fillId="25" borderId="33" xfId="34" quotePrefix="1" applyNumberFormat="1" applyFont="1" applyFill="1" applyBorder="1" applyAlignment="1">
      <alignment horizontal="center" vertical="top"/>
    </xf>
    <xf numFmtId="0" fontId="13" fillId="25" borderId="47" xfId="0" applyFont="1" applyFill="1" applyBorder="1" applyAlignment="1">
      <alignment horizontal="left" vertical="top" wrapText="1"/>
    </xf>
    <xf numFmtId="0" fontId="13" fillId="25" borderId="39" xfId="0" applyFont="1" applyFill="1" applyBorder="1" applyAlignment="1">
      <alignment horizontal="left" vertical="top" wrapText="1"/>
    </xf>
    <xf numFmtId="0" fontId="13" fillId="25" borderId="33" xfId="0" applyFont="1" applyFill="1" applyBorder="1" applyAlignment="1">
      <alignment horizontal="left" vertical="top" wrapText="1"/>
    </xf>
    <xf numFmtId="49" fontId="16" fillId="29" borderId="87" xfId="0" applyNumberFormat="1" applyFont="1" applyFill="1" applyBorder="1" applyAlignment="1">
      <alignment horizontal="center" vertical="top"/>
    </xf>
    <xf numFmtId="49" fontId="16" fillId="29" borderId="86" xfId="0" applyNumberFormat="1" applyFont="1" applyFill="1" applyBorder="1" applyAlignment="1">
      <alignment horizontal="center" vertical="top"/>
    </xf>
    <xf numFmtId="49" fontId="16" fillId="25" borderId="83" xfId="34" quotePrefix="1" applyNumberFormat="1" applyFont="1" applyFill="1" applyBorder="1" applyAlignment="1">
      <alignment horizontal="center" vertical="top"/>
    </xf>
    <xf numFmtId="0" fontId="13" fillId="25" borderId="73" xfId="0" applyFont="1" applyFill="1" applyBorder="1" applyAlignment="1">
      <alignment horizontal="left" vertical="top" wrapText="1"/>
    </xf>
    <xf numFmtId="0" fontId="15" fillId="0" borderId="83" xfId="0" applyFont="1" applyBorder="1" applyAlignment="1">
      <alignment horizontal="center" vertical="center" wrapText="1"/>
    </xf>
    <xf numFmtId="0" fontId="15" fillId="0" borderId="103" xfId="0" applyFont="1" applyBorder="1" applyAlignment="1">
      <alignment horizontal="left" vertical="center" wrapText="1"/>
    </xf>
    <xf numFmtId="0" fontId="15" fillId="0" borderId="98" xfId="0" applyFont="1" applyBorder="1" applyAlignment="1">
      <alignment horizontal="left" vertical="center" wrapText="1"/>
    </xf>
    <xf numFmtId="0" fontId="15" fillId="0" borderId="105" xfId="0" applyFont="1" applyBorder="1" applyAlignment="1">
      <alignment horizontal="left" vertical="center" wrapText="1"/>
    </xf>
    <xf numFmtId="0" fontId="15" fillId="25" borderId="22" xfId="0" applyFont="1" applyFill="1" applyBorder="1" applyAlignment="1">
      <alignment horizontal="center" vertical="center" wrapText="1"/>
    </xf>
    <xf numFmtId="0" fontId="15" fillId="25" borderId="23" xfId="0" applyFont="1" applyFill="1" applyBorder="1" applyAlignment="1">
      <alignment horizontal="center" vertical="center" wrapText="1"/>
    </xf>
    <xf numFmtId="0" fontId="15" fillId="25" borderId="24" xfId="0" applyFont="1" applyFill="1" applyBorder="1" applyAlignment="1">
      <alignment horizontal="center" vertical="center" wrapText="1"/>
    </xf>
    <xf numFmtId="49" fontId="16" fillId="30" borderId="126" xfId="0" applyNumberFormat="1" applyFont="1" applyFill="1" applyBorder="1" applyAlignment="1">
      <alignment horizontal="center" vertical="top"/>
    </xf>
    <xf numFmtId="49" fontId="16" fillId="30" borderId="23" xfId="0" applyNumberFormat="1" applyFont="1" applyFill="1" applyBorder="1" applyAlignment="1">
      <alignment horizontal="center" vertical="top"/>
    </xf>
    <xf numFmtId="49" fontId="16" fillId="30" borderId="80" xfId="0" applyNumberFormat="1" applyFont="1" applyFill="1" applyBorder="1" applyAlignment="1">
      <alignment horizontal="center" vertical="top"/>
    </xf>
    <xf numFmtId="49" fontId="17" fillId="30" borderId="38" xfId="0" applyNumberFormat="1" applyFont="1" applyFill="1" applyBorder="1" applyAlignment="1">
      <alignment horizontal="center" vertical="top"/>
    </xf>
    <xf numFmtId="0" fontId="14" fillId="0" borderId="0" xfId="0" applyFont="1" applyAlignment="1">
      <alignment horizontal="left" vertical="center" wrapText="1"/>
    </xf>
    <xf numFmtId="49" fontId="16" fillId="25" borderId="86" xfId="0" applyNumberFormat="1" applyFont="1" applyFill="1" applyBorder="1" applyAlignment="1">
      <alignment horizontal="center" vertical="top"/>
    </xf>
    <xf numFmtId="49" fontId="16" fillId="25" borderId="87" xfId="0" applyNumberFormat="1" applyFont="1" applyFill="1" applyBorder="1" applyAlignment="1">
      <alignment horizontal="center" vertical="top"/>
    </xf>
    <xf numFmtId="0" fontId="14" fillId="25" borderId="83" xfId="0" applyFont="1" applyFill="1" applyBorder="1" applyAlignment="1">
      <alignment horizontal="left" vertical="center" wrapText="1"/>
    </xf>
    <xf numFmtId="0" fontId="14" fillId="25" borderId="72" xfId="0" applyFont="1" applyFill="1" applyBorder="1" applyAlignment="1">
      <alignment horizontal="left" vertical="center" wrapText="1"/>
    </xf>
    <xf numFmtId="49" fontId="14" fillId="25" borderId="87" xfId="0" applyNumberFormat="1" applyFont="1" applyFill="1" applyBorder="1" applyAlignment="1">
      <alignment horizontal="left" vertical="top" wrapText="1"/>
    </xf>
    <xf numFmtId="49" fontId="15" fillId="25" borderId="87" xfId="0" applyNumberFormat="1" applyFont="1" applyFill="1" applyBorder="1" applyAlignment="1">
      <alignment horizontal="left" vertical="top" wrapText="1"/>
    </xf>
    <xf numFmtId="49" fontId="16" fillId="25" borderId="87" xfId="0" applyNumberFormat="1" applyFont="1" applyFill="1" applyBorder="1" applyAlignment="1">
      <alignment horizontal="center" vertical="center"/>
    </xf>
    <xf numFmtId="0" fontId="13" fillId="25" borderId="108" xfId="0" applyFont="1" applyFill="1" applyBorder="1" applyAlignment="1">
      <alignment horizontal="left" vertical="top" wrapText="1"/>
    </xf>
    <xf numFmtId="0" fontId="13" fillId="25" borderId="81" xfId="0" applyFont="1" applyFill="1" applyBorder="1" applyAlignment="1">
      <alignment horizontal="left" vertical="top" wrapText="1"/>
    </xf>
    <xf numFmtId="0" fontId="15" fillId="0" borderId="126" xfId="0" applyFont="1" applyBorder="1" applyAlignment="1">
      <alignment horizontal="center" vertical="center" wrapText="1"/>
    </xf>
    <xf numFmtId="0" fontId="15" fillId="0" borderId="110" xfId="0" applyFont="1" applyBorder="1" applyAlignment="1">
      <alignment horizontal="center" vertical="center" wrapText="1"/>
    </xf>
    <xf numFmtId="49" fontId="17" fillId="0" borderId="108" xfId="0" applyNumberFormat="1" applyFont="1" applyBorder="1" applyAlignment="1">
      <alignment horizontal="center" vertical="top"/>
    </xf>
    <xf numFmtId="49" fontId="17" fillId="0" borderId="47" xfId="0" applyNumberFormat="1" applyFont="1" applyBorder="1" applyAlignment="1">
      <alignment horizontal="center" vertical="top"/>
    </xf>
    <xf numFmtId="49" fontId="17" fillId="29" borderId="108" xfId="0" applyNumberFormat="1" applyFont="1" applyFill="1" applyBorder="1" applyAlignment="1">
      <alignment horizontal="center" vertical="top"/>
    </xf>
    <xf numFmtId="0" fontId="14" fillId="0" borderId="47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0" fontId="14" fillId="0" borderId="185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left" vertical="center" wrapText="1"/>
    </xf>
    <xf numFmtId="49" fontId="16" fillId="30" borderId="86" xfId="0" applyNumberFormat="1" applyFont="1" applyFill="1" applyBorder="1" applyAlignment="1">
      <alignment horizontal="center" vertical="top"/>
    </xf>
    <xf numFmtId="49" fontId="16" fillId="36" borderId="87" xfId="0" applyNumberFormat="1" applyFont="1" applyFill="1" applyBorder="1" applyAlignment="1">
      <alignment horizontal="center" vertical="top"/>
    </xf>
    <xf numFmtId="0" fontId="14" fillId="25" borderId="89" xfId="0" applyFont="1" applyFill="1" applyBorder="1" applyAlignment="1">
      <alignment vertical="center" wrapText="1"/>
    </xf>
    <xf numFmtId="0" fontId="14" fillId="25" borderId="114" xfId="0" applyFont="1" applyFill="1" applyBorder="1" applyAlignment="1">
      <alignment vertical="center" wrapText="1"/>
    </xf>
    <xf numFmtId="49" fontId="16" fillId="36" borderId="47" xfId="0" applyNumberFormat="1" applyFont="1" applyFill="1" applyBorder="1" applyAlignment="1">
      <alignment horizontal="center" vertical="top"/>
    </xf>
    <xf numFmtId="49" fontId="16" fillId="36" borderId="39" xfId="0" applyNumberFormat="1" applyFont="1" applyFill="1" applyBorder="1" applyAlignment="1">
      <alignment horizontal="center" vertical="top"/>
    </xf>
    <xf numFmtId="49" fontId="16" fillId="36" borderId="33" xfId="0" applyNumberFormat="1" applyFont="1" applyFill="1" applyBorder="1" applyAlignment="1">
      <alignment horizontal="center" vertical="top"/>
    </xf>
    <xf numFmtId="49" fontId="16" fillId="37" borderId="47" xfId="0" applyNumberFormat="1" applyFont="1" applyFill="1" applyBorder="1" applyAlignment="1">
      <alignment horizontal="center" vertical="top"/>
    </xf>
    <xf numFmtId="49" fontId="16" fillId="37" borderId="39" xfId="0" applyNumberFormat="1" applyFont="1" applyFill="1" applyBorder="1" applyAlignment="1">
      <alignment horizontal="center" vertical="top"/>
    </xf>
    <xf numFmtId="49" fontId="16" fillId="37" borderId="33" xfId="0" applyNumberFormat="1" applyFont="1" applyFill="1" applyBorder="1" applyAlignment="1">
      <alignment horizontal="center" vertical="top"/>
    </xf>
    <xf numFmtId="0" fontId="15" fillId="25" borderId="83" xfId="0" applyFont="1" applyFill="1" applyBorder="1" applyAlignment="1">
      <alignment horizontal="left" vertical="center" wrapText="1"/>
    </xf>
    <xf numFmtId="0" fontId="15" fillId="25" borderId="72" xfId="0" applyFont="1" applyFill="1" applyBorder="1" applyAlignment="1">
      <alignment horizontal="left" vertical="center" wrapText="1"/>
    </xf>
    <xf numFmtId="49" fontId="16" fillId="36" borderId="77" xfId="0" applyNumberFormat="1" applyFont="1" applyFill="1" applyBorder="1" applyAlignment="1">
      <alignment horizontal="center" vertical="top"/>
    </xf>
    <xf numFmtId="49" fontId="16" fillId="36" borderId="72" xfId="0" applyNumberFormat="1" applyFont="1" applyFill="1" applyBorder="1" applyAlignment="1">
      <alignment horizontal="center" vertical="top"/>
    </xf>
    <xf numFmtId="0" fontId="15" fillId="0" borderId="65" xfId="0" quotePrefix="1" applyFont="1" applyBorder="1" applyAlignment="1">
      <alignment horizontal="center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43" xfId="0" quotePrefix="1" applyFont="1" applyBorder="1" applyAlignment="1">
      <alignment horizontal="center" vertical="center" wrapText="1"/>
    </xf>
    <xf numFmtId="165" fontId="13" fillId="34" borderId="0" xfId="35" applyNumberFormat="1" applyFont="1" applyFill="1" applyAlignment="1">
      <alignment vertical="center" wrapText="1"/>
    </xf>
    <xf numFmtId="165" fontId="13" fillId="34" borderId="172" xfId="35" applyNumberFormat="1" applyFont="1" applyFill="1" applyBorder="1" applyAlignment="1">
      <alignment vertical="center" wrapText="1"/>
    </xf>
    <xf numFmtId="49" fontId="17" fillId="0" borderId="39" xfId="0" applyNumberFormat="1" applyFont="1" applyBorder="1" applyAlignment="1">
      <alignment horizontal="center" vertical="top"/>
    </xf>
    <xf numFmtId="49" fontId="16" fillId="37" borderId="73" xfId="0" applyNumberFormat="1" applyFont="1" applyFill="1" applyBorder="1" applyAlignment="1">
      <alignment horizontal="center" vertical="top"/>
    </xf>
    <xf numFmtId="49" fontId="16" fillId="37" borderId="0" xfId="0" applyNumberFormat="1" applyFont="1" applyFill="1" applyAlignment="1">
      <alignment horizontal="center" vertical="top"/>
    </xf>
    <xf numFmtId="0" fontId="14" fillId="25" borderId="98" xfId="0" applyFont="1" applyFill="1" applyBorder="1" applyAlignment="1">
      <alignment vertical="center" wrapText="1"/>
    </xf>
    <xf numFmtId="0" fontId="14" fillId="25" borderId="0" xfId="0" applyFont="1" applyFill="1" applyAlignment="1">
      <alignment vertical="center" wrapText="1"/>
    </xf>
    <xf numFmtId="0" fontId="14" fillId="25" borderId="91" xfId="0" applyFont="1" applyFill="1" applyBorder="1" applyAlignment="1">
      <alignment horizontal="left" vertical="center" wrapText="1"/>
    </xf>
    <xf numFmtId="0" fontId="15" fillId="0" borderId="50" xfId="0" applyFont="1" applyBorder="1" applyAlignment="1">
      <alignment horizontal="center" vertical="center" wrapText="1"/>
    </xf>
    <xf numFmtId="0" fontId="14" fillId="0" borderId="166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0" fontId="14" fillId="0" borderId="168" xfId="0" applyFont="1" applyBorder="1" applyAlignment="1">
      <alignment horizontal="left" vertical="center" wrapText="1"/>
    </xf>
    <xf numFmtId="0" fontId="13" fillId="25" borderId="39" xfId="0" applyFont="1" applyFill="1" applyBorder="1" applyAlignment="1">
      <alignment horizontal="center" vertical="center" wrapText="1"/>
    </xf>
    <xf numFmtId="0" fontId="13" fillId="25" borderId="108" xfId="0" applyFont="1" applyFill="1" applyBorder="1" applyAlignment="1">
      <alignment horizontal="center" vertical="center" wrapText="1"/>
    </xf>
    <xf numFmtId="0" fontId="14" fillId="25" borderId="26" xfId="0" applyFont="1" applyFill="1" applyBorder="1" applyAlignment="1">
      <alignment horizontal="left" vertical="center" wrapText="1"/>
    </xf>
    <xf numFmtId="0" fontId="14" fillId="25" borderId="52" xfId="0" applyFont="1" applyFill="1" applyBorder="1" applyAlignment="1">
      <alignment horizontal="left" vertical="center" wrapText="1"/>
    </xf>
    <xf numFmtId="0" fontId="14" fillId="25" borderId="39" xfId="0" applyFont="1" applyFill="1" applyBorder="1" applyAlignment="1">
      <alignment horizontal="left" vertical="center" wrapText="1"/>
    </xf>
    <xf numFmtId="0" fontId="14" fillId="25" borderId="191" xfId="0" applyFont="1" applyFill="1" applyBorder="1" applyAlignment="1">
      <alignment horizontal="left" vertical="center" wrapText="1"/>
    </xf>
    <xf numFmtId="0" fontId="15" fillId="0" borderId="192" xfId="0" applyFont="1" applyBorder="1" applyAlignment="1">
      <alignment horizontal="left" vertical="center" wrapText="1"/>
    </xf>
    <xf numFmtId="0" fontId="15" fillId="0" borderId="191" xfId="0" applyFont="1" applyBorder="1" applyAlignment="1">
      <alignment horizontal="left" vertical="center" wrapText="1"/>
    </xf>
    <xf numFmtId="0" fontId="14" fillId="0" borderId="104" xfId="0" applyFont="1" applyBorder="1" applyAlignment="1">
      <alignment horizontal="left" vertical="center" wrapText="1"/>
    </xf>
    <xf numFmtId="0" fontId="14" fillId="0" borderId="101" xfId="0" applyFont="1" applyBorder="1" applyAlignment="1">
      <alignment horizontal="left" vertical="center" wrapText="1"/>
    </xf>
    <xf numFmtId="0" fontId="15" fillId="0" borderId="86" xfId="0" applyFont="1" applyBorder="1" applyAlignment="1">
      <alignment horizontal="left" vertical="center" wrapText="1"/>
    </xf>
    <xf numFmtId="0" fontId="15" fillId="0" borderId="123" xfId="0" quotePrefix="1" applyFont="1" applyBorder="1" applyAlignment="1">
      <alignment horizontal="center" vertical="center" wrapText="1"/>
    </xf>
    <xf numFmtId="0" fontId="15" fillId="0" borderId="135" xfId="0" applyFont="1" applyBorder="1" applyAlignment="1">
      <alignment horizontal="center" vertical="center" wrapText="1"/>
    </xf>
    <xf numFmtId="49" fontId="17" fillId="30" borderId="122" xfId="0" applyNumberFormat="1" applyFont="1" applyFill="1" applyBorder="1" applyAlignment="1">
      <alignment horizontal="center" vertical="top"/>
    </xf>
    <xf numFmtId="49" fontId="17" fillId="30" borderId="134" xfId="0" applyNumberFormat="1" applyFont="1" applyFill="1" applyBorder="1" applyAlignment="1">
      <alignment horizontal="center" vertical="top"/>
    </xf>
    <xf numFmtId="0" fontId="15" fillId="0" borderId="108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49" fontId="16" fillId="25" borderId="108" xfId="34" quotePrefix="1" applyNumberFormat="1" applyFont="1" applyFill="1" applyBorder="1" applyAlignment="1">
      <alignment horizontal="center" vertical="top"/>
    </xf>
    <xf numFmtId="49" fontId="16" fillId="25" borderId="81" xfId="34" quotePrefix="1" applyNumberFormat="1" applyFont="1" applyFill="1" applyBorder="1" applyAlignment="1">
      <alignment horizontal="center" vertical="top"/>
    </xf>
    <xf numFmtId="49" fontId="17" fillId="29" borderId="38" xfId="0" applyNumberFormat="1" applyFont="1" applyFill="1" applyBorder="1" applyAlignment="1">
      <alignment horizontal="center" vertical="top"/>
    </xf>
    <xf numFmtId="0" fontId="15" fillId="0" borderId="83" xfId="0" applyFont="1" applyBorder="1" applyAlignment="1">
      <alignment horizontal="left" vertical="center" wrapText="1"/>
    </xf>
    <xf numFmtId="0" fontId="15" fillId="0" borderId="112" xfId="0" applyFont="1" applyBorder="1" applyAlignment="1">
      <alignment horizontal="left" vertical="center" wrapText="1"/>
    </xf>
    <xf numFmtId="49" fontId="17" fillId="29" borderId="22" xfId="0" applyNumberFormat="1" applyFont="1" applyFill="1" applyBorder="1" applyAlignment="1">
      <alignment horizontal="right" vertical="top"/>
    </xf>
    <xf numFmtId="49" fontId="17" fillId="29" borderId="46" xfId="0" applyNumberFormat="1" applyFont="1" applyFill="1" applyBorder="1" applyAlignment="1">
      <alignment horizontal="right" vertical="top"/>
    </xf>
    <xf numFmtId="49" fontId="17" fillId="29" borderId="27" xfId="0" applyNumberFormat="1" applyFont="1" applyFill="1" applyBorder="1" applyAlignment="1">
      <alignment horizontal="right" vertical="top"/>
    </xf>
    <xf numFmtId="49" fontId="16" fillId="37" borderId="87" xfId="0" applyNumberFormat="1" applyFont="1" applyFill="1" applyBorder="1" applyAlignment="1">
      <alignment horizontal="center" vertical="top"/>
    </xf>
    <xf numFmtId="49" fontId="16" fillId="25" borderId="87" xfId="34" quotePrefix="1" applyNumberFormat="1" applyFont="1" applyFill="1" applyBorder="1" applyAlignment="1">
      <alignment horizontal="center" vertical="top"/>
    </xf>
    <xf numFmtId="0" fontId="13" fillId="25" borderId="87" xfId="0" applyFont="1" applyFill="1" applyBorder="1" applyAlignment="1">
      <alignment horizontal="left" vertical="top" wrapText="1"/>
    </xf>
    <xf numFmtId="0" fontId="15" fillId="25" borderId="47" xfId="0" applyFont="1" applyFill="1" applyBorder="1" applyAlignment="1">
      <alignment horizontal="center" vertical="center" wrapText="1"/>
    </xf>
    <xf numFmtId="0" fontId="15" fillId="25" borderId="33" xfId="0" applyFont="1" applyFill="1" applyBorder="1" applyAlignment="1">
      <alignment horizontal="center" vertical="center" wrapText="1"/>
    </xf>
    <xf numFmtId="49" fontId="16" fillId="29" borderId="49" xfId="0" applyNumberFormat="1" applyFont="1" applyFill="1" applyBorder="1" applyAlignment="1">
      <alignment horizontal="left" vertical="top"/>
    </xf>
    <xf numFmtId="49" fontId="16" fillId="29" borderId="50" xfId="0" applyNumberFormat="1" applyFont="1" applyFill="1" applyBorder="1" applyAlignment="1">
      <alignment horizontal="left" vertical="top"/>
    </xf>
    <xf numFmtId="49" fontId="16" fillId="29" borderId="44" xfId="0" applyNumberFormat="1" applyFont="1" applyFill="1" applyBorder="1" applyAlignment="1">
      <alignment horizontal="left" vertical="top"/>
    </xf>
    <xf numFmtId="49" fontId="13" fillId="0" borderId="123" xfId="0" applyNumberFormat="1" applyFont="1" applyBorder="1" applyAlignment="1">
      <alignment horizontal="center" vertical="center"/>
    </xf>
    <xf numFmtId="49" fontId="13" fillId="0" borderId="37" xfId="0" applyNumberFormat="1" applyFont="1" applyBorder="1" applyAlignment="1">
      <alignment horizontal="center" vertical="center"/>
    </xf>
    <xf numFmtId="49" fontId="13" fillId="0" borderId="99" xfId="0" applyNumberFormat="1" applyFont="1" applyBorder="1" applyAlignment="1">
      <alignment horizontal="center" vertical="center"/>
    </xf>
    <xf numFmtId="49" fontId="16" fillId="0" borderId="86" xfId="0" applyNumberFormat="1" applyFont="1" applyBorder="1" applyAlignment="1">
      <alignment horizontal="center" vertical="top"/>
    </xf>
    <xf numFmtId="49" fontId="16" fillId="0" borderId="88" xfId="0" applyNumberFormat="1" applyFont="1" applyBorder="1" applyAlignment="1">
      <alignment horizontal="center" vertical="top"/>
    </xf>
    <xf numFmtId="0" fontId="15" fillId="0" borderId="86" xfId="0" applyFont="1" applyBorder="1" applyAlignment="1">
      <alignment horizontal="left" vertical="top" wrapText="1"/>
    </xf>
    <xf numFmtId="0" fontId="15" fillId="0" borderId="88" xfId="0" applyFont="1" applyBorder="1" applyAlignment="1">
      <alignment horizontal="left" vertical="top" wrapText="1"/>
    </xf>
    <xf numFmtId="0" fontId="15" fillId="0" borderId="86" xfId="0" applyFont="1" applyBorder="1" applyAlignment="1">
      <alignment horizontal="center" vertical="center" wrapText="1"/>
    </xf>
    <xf numFmtId="0" fontId="15" fillId="0" borderId="87" xfId="0" applyFont="1" applyBorder="1" applyAlignment="1">
      <alignment horizontal="center" vertical="center" wrapText="1"/>
    </xf>
    <xf numFmtId="49" fontId="16" fillId="30" borderId="47" xfId="0" applyNumberFormat="1" applyFont="1" applyFill="1" applyBorder="1" applyAlignment="1">
      <alignment horizontal="center" vertical="top"/>
    </xf>
    <xf numFmtId="49" fontId="16" fillId="30" borderId="39" xfId="0" applyNumberFormat="1" applyFont="1" applyFill="1" applyBorder="1" applyAlignment="1">
      <alignment horizontal="center" vertical="top"/>
    </xf>
    <xf numFmtId="49" fontId="15" fillId="25" borderId="47" xfId="0" quotePrefix="1" applyNumberFormat="1" applyFont="1" applyFill="1" applyBorder="1" applyAlignment="1">
      <alignment horizontal="center" vertical="center" wrapText="1"/>
    </xf>
    <xf numFmtId="49" fontId="15" fillId="25" borderId="33" xfId="0" quotePrefix="1" applyNumberFormat="1" applyFont="1" applyFill="1" applyBorder="1" applyAlignment="1">
      <alignment horizontal="center" vertical="center" wrapText="1"/>
    </xf>
    <xf numFmtId="49" fontId="16" fillId="30" borderId="53" xfId="0" applyNumberFormat="1" applyFont="1" applyFill="1" applyBorder="1" applyAlignment="1">
      <alignment horizontal="center" vertical="top"/>
    </xf>
    <xf numFmtId="49" fontId="15" fillId="25" borderId="47" xfId="0" applyNumberFormat="1" applyFont="1" applyFill="1" applyBorder="1" applyAlignment="1">
      <alignment horizontal="left" vertical="center" wrapText="1"/>
    </xf>
    <xf numFmtId="49" fontId="15" fillId="25" borderId="39" xfId="0" applyNumberFormat="1" applyFont="1" applyFill="1" applyBorder="1" applyAlignment="1">
      <alignment horizontal="left" vertical="center" wrapText="1"/>
    </xf>
    <xf numFmtId="49" fontId="16" fillId="0" borderId="10" xfId="0" applyNumberFormat="1" applyFont="1" applyBorder="1" applyAlignment="1">
      <alignment horizontal="center" vertical="top"/>
    </xf>
    <xf numFmtId="49" fontId="16" fillId="0" borderId="12" xfId="0" applyNumberFormat="1" applyFont="1" applyBorder="1" applyAlignment="1">
      <alignment horizontal="center" vertical="top"/>
    </xf>
    <xf numFmtId="49" fontId="16" fillId="29" borderId="88" xfId="0" applyNumberFormat="1" applyFont="1" applyFill="1" applyBorder="1" applyAlignment="1">
      <alignment horizontal="center" vertical="top"/>
    </xf>
    <xf numFmtId="49" fontId="16" fillId="0" borderId="87" xfId="0" applyNumberFormat="1" applyFont="1" applyBorder="1" applyAlignment="1">
      <alignment horizontal="center" vertical="top"/>
    </xf>
    <xf numFmtId="49" fontId="16" fillId="29" borderId="108" xfId="0" applyNumberFormat="1" applyFont="1" applyFill="1" applyBorder="1" applyAlignment="1">
      <alignment horizontal="center" vertical="top"/>
    </xf>
    <xf numFmtId="49" fontId="16" fillId="29" borderId="39" xfId="0" applyNumberFormat="1" applyFont="1" applyFill="1" applyBorder="1" applyAlignment="1">
      <alignment horizontal="center" vertical="top"/>
    </xf>
    <xf numFmtId="49" fontId="16" fillId="29" borderId="74" xfId="0" applyNumberFormat="1" applyFont="1" applyFill="1" applyBorder="1" applyAlignment="1">
      <alignment horizontal="center" vertical="top"/>
    </xf>
    <xf numFmtId="49" fontId="16" fillId="29" borderId="22" xfId="0" applyNumberFormat="1" applyFont="1" applyFill="1" applyBorder="1" applyAlignment="1">
      <alignment horizontal="center" vertical="top"/>
    </xf>
    <xf numFmtId="49" fontId="16" fillId="29" borderId="23" xfId="0" applyNumberFormat="1" applyFont="1" applyFill="1" applyBorder="1" applyAlignment="1">
      <alignment horizontal="center" vertical="top"/>
    </xf>
    <xf numFmtId="49" fontId="16" fillId="29" borderId="45" xfId="0" applyNumberFormat="1" applyFont="1" applyFill="1" applyBorder="1" applyAlignment="1">
      <alignment horizontal="center" vertical="top"/>
    </xf>
    <xf numFmtId="49" fontId="16" fillId="29" borderId="35" xfId="0" applyNumberFormat="1" applyFont="1" applyFill="1" applyBorder="1" applyAlignment="1">
      <alignment horizontal="center" vertical="top"/>
    </xf>
    <xf numFmtId="49" fontId="16" fillId="30" borderId="87" xfId="0" applyNumberFormat="1" applyFont="1" applyFill="1" applyBorder="1" applyAlignment="1">
      <alignment horizontal="center" vertical="top"/>
    </xf>
    <xf numFmtId="49" fontId="16" fillId="30" borderId="88" xfId="0" applyNumberFormat="1" applyFont="1" applyFill="1" applyBorder="1" applyAlignment="1">
      <alignment horizontal="center" vertical="top"/>
    </xf>
    <xf numFmtId="0" fontId="15" fillId="0" borderId="47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49" fontId="15" fillId="0" borderId="22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47" xfId="0" applyNumberFormat="1" applyFont="1" applyBorder="1" applyAlignment="1">
      <alignment horizontal="left" vertical="center" wrapText="1"/>
    </xf>
    <xf numFmtId="49" fontId="15" fillId="0" borderId="33" xfId="0" applyNumberFormat="1" applyFont="1" applyBorder="1" applyAlignment="1">
      <alignment horizontal="left" vertical="center" wrapText="1"/>
    </xf>
    <xf numFmtId="49" fontId="16" fillId="0" borderId="83" xfId="0" applyNumberFormat="1" applyFont="1" applyBorder="1" applyAlignment="1">
      <alignment horizontal="center" vertical="top"/>
    </xf>
    <xf numFmtId="49" fontId="16" fillId="0" borderId="72" xfId="0" applyNumberFormat="1" applyFont="1" applyBorder="1" applyAlignment="1">
      <alignment horizontal="center" vertical="top"/>
    </xf>
    <xf numFmtId="0" fontId="14" fillId="0" borderId="6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49" fontId="14" fillId="0" borderId="73" xfId="0" applyNumberFormat="1" applyFont="1" applyBorder="1" applyAlignment="1">
      <alignment horizontal="left" vertical="center" wrapText="1"/>
    </xf>
    <xf numFmtId="49" fontId="15" fillId="0" borderId="0" xfId="0" applyNumberFormat="1" applyFont="1" applyAlignment="1">
      <alignment horizontal="left" vertical="center" wrapText="1"/>
    </xf>
    <xf numFmtId="49" fontId="15" fillId="0" borderId="86" xfId="0" applyNumberFormat="1" applyFont="1" applyBorder="1" applyAlignment="1">
      <alignment horizontal="center" vertical="center"/>
    </xf>
    <xf numFmtId="49" fontId="15" fillId="0" borderId="88" xfId="0" applyNumberFormat="1" applyFont="1" applyBorder="1" applyAlignment="1">
      <alignment horizontal="center" vertical="center"/>
    </xf>
    <xf numFmtId="49" fontId="17" fillId="30" borderId="78" xfId="0" applyNumberFormat="1" applyFont="1" applyFill="1" applyBorder="1" applyAlignment="1">
      <alignment horizontal="center" vertical="top"/>
    </xf>
    <xf numFmtId="49" fontId="17" fillId="30" borderId="79" xfId="0" applyNumberFormat="1" applyFont="1" applyFill="1" applyBorder="1" applyAlignment="1">
      <alignment horizontal="center" vertical="top"/>
    </xf>
    <xf numFmtId="49" fontId="13" fillId="0" borderId="22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49" fontId="13" fillId="0" borderId="47" xfId="0" applyNumberFormat="1" applyFont="1" applyBorder="1" applyAlignment="1">
      <alignment horizontal="left" vertical="center" wrapText="1"/>
    </xf>
    <xf numFmtId="49" fontId="13" fillId="0" borderId="39" xfId="0" applyNumberFormat="1" applyFont="1" applyBorder="1" applyAlignment="1">
      <alignment horizontal="left" vertical="center" wrapText="1"/>
    </xf>
    <xf numFmtId="49" fontId="17" fillId="29" borderId="24" xfId="0" applyNumberFormat="1" applyFont="1" applyFill="1" applyBorder="1" applyAlignment="1">
      <alignment horizontal="right" vertical="top"/>
    </xf>
    <xf numFmtId="49" fontId="17" fillId="29" borderId="57" xfId="0" applyNumberFormat="1" applyFont="1" applyFill="1" applyBorder="1" applyAlignment="1">
      <alignment horizontal="right" vertical="top"/>
    </xf>
    <xf numFmtId="49" fontId="17" fillId="29" borderId="40" xfId="0" applyNumberFormat="1" applyFont="1" applyFill="1" applyBorder="1" applyAlignment="1">
      <alignment horizontal="right" vertical="top"/>
    </xf>
    <xf numFmtId="49" fontId="17" fillId="29" borderId="126" xfId="0" applyNumberFormat="1" applyFont="1" applyFill="1" applyBorder="1" applyAlignment="1">
      <alignment horizontal="center" vertical="top"/>
    </xf>
    <xf numFmtId="49" fontId="17" fillId="29" borderId="80" xfId="0" applyNumberFormat="1" applyFont="1" applyFill="1" applyBorder="1" applyAlignment="1">
      <alignment horizontal="center" vertical="top"/>
    </xf>
    <xf numFmtId="49" fontId="17" fillId="0" borderId="86" xfId="0" applyNumberFormat="1" applyFont="1" applyBorder="1" applyAlignment="1">
      <alignment horizontal="center" vertical="top"/>
    </xf>
    <xf numFmtId="49" fontId="17" fillId="0" borderId="87" xfId="0" applyNumberFormat="1" applyFont="1" applyBorder="1" applyAlignment="1">
      <alignment horizontal="center" vertical="top"/>
    </xf>
    <xf numFmtId="49" fontId="17" fillId="0" borderId="88" xfId="0" applyNumberFormat="1" applyFont="1" applyBorder="1" applyAlignment="1">
      <alignment horizontal="center" vertical="top"/>
    </xf>
    <xf numFmtId="0" fontId="13" fillId="25" borderId="86" xfId="0" applyFont="1" applyFill="1" applyBorder="1" applyAlignment="1">
      <alignment horizontal="left" vertical="top" wrapText="1"/>
    </xf>
    <xf numFmtId="0" fontId="13" fillId="25" borderId="88" xfId="0" applyFont="1" applyFill="1" applyBorder="1" applyAlignment="1">
      <alignment horizontal="left" vertical="top" wrapText="1"/>
    </xf>
    <xf numFmtId="0" fontId="13" fillId="0" borderId="86" xfId="0" applyFont="1" applyBorder="1" applyAlignment="1">
      <alignment horizontal="center" vertical="center" wrapText="1"/>
    </xf>
    <xf numFmtId="0" fontId="13" fillId="0" borderId="87" xfId="0" applyFont="1" applyBorder="1" applyAlignment="1">
      <alignment horizontal="center" vertical="center" wrapText="1"/>
    </xf>
    <xf numFmtId="0" fontId="13" fillId="0" borderId="88" xfId="0" applyFont="1" applyBorder="1" applyAlignment="1">
      <alignment horizontal="center" vertical="center" wrapText="1"/>
    </xf>
    <xf numFmtId="0" fontId="14" fillId="0" borderId="72" xfId="0" applyFont="1" applyBorder="1" applyAlignment="1">
      <alignment horizontal="left" vertical="center" wrapText="1"/>
    </xf>
    <xf numFmtId="49" fontId="13" fillId="0" borderId="86" xfId="0" applyNumberFormat="1" applyFont="1" applyBorder="1" applyAlignment="1">
      <alignment horizontal="left" vertical="center" wrapText="1"/>
    </xf>
    <xf numFmtId="49" fontId="13" fillId="0" borderId="87" xfId="0" applyNumberFormat="1" applyFont="1" applyBorder="1" applyAlignment="1">
      <alignment horizontal="left" vertical="center" wrapText="1"/>
    </xf>
    <xf numFmtId="49" fontId="13" fillId="0" borderId="88" xfId="0" applyNumberFormat="1" applyFont="1" applyBorder="1" applyAlignment="1">
      <alignment horizontal="left" vertical="center" wrapText="1"/>
    </xf>
    <xf numFmtId="49" fontId="13" fillId="0" borderId="86" xfId="0" applyNumberFormat="1" applyFont="1" applyBorder="1" applyAlignment="1">
      <alignment horizontal="center" vertical="center"/>
    </xf>
    <xf numFmtId="49" fontId="13" fillId="0" borderId="87" xfId="0" applyNumberFormat="1" applyFont="1" applyBorder="1" applyAlignment="1">
      <alignment horizontal="center" vertical="center"/>
    </xf>
    <xf numFmtId="49" fontId="13" fillId="0" borderId="88" xfId="0" applyNumberFormat="1" applyFont="1" applyBorder="1" applyAlignment="1">
      <alignment horizontal="center" vertical="center"/>
    </xf>
    <xf numFmtId="0" fontId="15" fillId="25" borderId="86" xfId="0" applyFont="1" applyFill="1" applyBorder="1" applyAlignment="1">
      <alignment horizontal="center" vertical="center" wrapText="1"/>
    </xf>
    <xf numFmtId="0" fontId="15" fillId="25" borderId="87" xfId="0" applyFont="1" applyFill="1" applyBorder="1" applyAlignment="1">
      <alignment horizontal="center" vertical="center" wrapText="1"/>
    </xf>
    <xf numFmtId="49" fontId="16" fillId="0" borderId="39" xfId="0" applyNumberFormat="1" applyFont="1" applyBorder="1" applyAlignment="1">
      <alignment horizontal="center" vertical="top"/>
    </xf>
    <xf numFmtId="0" fontId="15" fillId="0" borderId="37" xfId="0" applyFont="1" applyBorder="1" applyAlignment="1">
      <alignment horizontal="left" vertical="center"/>
    </xf>
    <xf numFmtId="0" fontId="15" fillId="0" borderId="131" xfId="0" applyFont="1" applyBorder="1" applyAlignment="1">
      <alignment horizontal="left" vertical="center"/>
    </xf>
    <xf numFmtId="49" fontId="15" fillId="25" borderId="123" xfId="0" applyNumberFormat="1" applyFont="1" applyFill="1" applyBorder="1" applyAlignment="1">
      <alignment horizontal="left" vertical="center" wrapText="1"/>
    </xf>
    <xf numFmtId="49" fontId="15" fillId="25" borderId="37" xfId="0" applyNumberFormat="1" applyFont="1" applyFill="1" applyBorder="1" applyAlignment="1">
      <alignment horizontal="left" vertical="center" wrapText="1"/>
    </xf>
    <xf numFmtId="49" fontId="17" fillId="29" borderId="75" xfId="0" applyNumberFormat="1" applyFont="1" applyFill="1" applyBorder="1" applyAlignment="1">
      <alignment horizontal="right" vertical="top"/>
    </xf>
    <xf numFmtId="49" fontId="17" fillId="29" borderId="143" xfId="0" applyNumberFormat="1" applyFont="1" applyFill="1" applyBorder="1" applyAlignment="1">
      <alignment horizontal="right" vertical="top"/>
    </xf>
    <xf numFmtId="49" fontId="17" fillId="29" borderId="173" xfId="0" applyNumberFormat="1" applyFont="1" applyFill="1" applyBorder="1" applyAlignment="1">
      <alignment horizontal="right" vertical="top"/>
    </xf>
    <xf numFmtId="0" fontId="15" fillId="0" borderId="23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left" vertical="top" wrapText="1"/>
    </xf>
    <xf numFmtId="0" fontId="14" fillId="0" borderId="89" xfId="0" applyFont="1" applyBorder="1" applyAlignment="1">
      <alignment horizontal="center" vertical="center" wrapText="1"/>
    </xf>
    <xf numFmtId="0" fontId="14" fillId="0" borderId="114" xfId="0" applyFont="1" applyBorder="1" applyAlignment="1">
      <alignment horizontal="center" vertical="center" wrapText="1"/>
    </xf>
    <xf numFmtId="49" fontId="17" fillId="29" borderId="104" xfId="0" applyNumberFormat="1" applyFont="1" applyFill="1" applyBorder="1" applyAlignment="1">
      <alignment horizontal="center" vertical="top"/>
    </xf>
    <xf numFmtId="0" fontId="15" fillId="0" borderId="108" xfId="0" applyFont="1" applyBorder="1" applyAlignment="1">
      <alignment horizontal="left" vertical="center" wrapText="1"/>
    </xf>
    <xf numFmtId="0" fontId="14" fillId="0" borderId="108" xfId="0" applyFont="1" applyBorder="1" applyAlignment="1">
      <alignment horizontal="left" vertical="center" wrapText="1"/>
    </xf>
    <xf numFmtId="0" fontId="15" fillId="0" borderId="167" xfId="0" applyFont="1" applyBorder="1" applyAlignment="1">
      <alignment horizontal="left" vertical="center" wrapText="1"/>
    </xf>
    <xf numFmtId="49" fontId="17" fillId="0" borderId="22" xfId="0" applyNumberFormat="1" applyFont="1" applyBorder="1" applyAlignment="1">
      <alignment horizontal="center" vertical="top"/>
    </xf>
    <xf numFmtId="49" fontId="17" fillId="0" borderId="49" xfId="0" applyNumberFormat="1" applyFont="1" applyBorder="1" applyAlignment="1">
      <alignment horizontal="center" vertical="top"/>
    </xf>
    <xf numFmtId="0" fontId="13" fillId="0" borderId="23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49" fontId="17" fillId="0" borderId="38" xfId="0" applyNumberFormat="1" applyFont="1" applyBorder="1" applyAlignment="1">
      <alignment horizontal="center" vertical="top"/>
    </xf>
    <xf numFmtId="0" fontId="13" fillId="25" borderId="47" xfId="0" applyFont="1" applyFill="1" applyBorder="1" applyAlignment="1">
      <alignment horizontal="center" vertical="center" wrapText="1"/>
    </xf>
    <xf numFmtId="0" fontId="13" fillId="25" borderId="38" xfId="0" applyFont="1" applyFill="1" applyBorder="1" applyAlignment="1">
      <alignment horizontal="center" vertical="center" wrapText="1"/>
    </xf>
    <xf numFmtId="0" fontId="14" fillId="0" borderId="39" xfId="0" applyFont="1" applyBorder="1" applyAlignment="1">
      <alignment horizontal="left" vertical="top" wrapText="1"/>
    </xf>
    <xf numFmtId="0" fontId="13" fillId="25" borderId="151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4" fillId="0" borderId="73" xfId="0" applyFont="1" applyBorder="1" applyAlignment="1">
      <alignment horizontal="left" vertical="center"/>
    </xf>
    <xf numFmtId="0" fontId="14" fillId="0" borderId="86" xfId="0" applyFont="1" applyBorder="1" applyAlignment="1">
      <alignment horizontal="left" vertical="center"/>
    </xf>
    <xf numFmtId="0" fontId="14" fillId="0" borderId="124" xfId="0" applyFont="1" applyBorder="1" applyAlignment="1">
      <alignment horizontal="left" vertical="center" wrapText="1"/>
    </xf>
    <xf numFmtId="0" fontId="14" fillId="0" borderId="82" xfId="0" applyFont="1" applyBorder="1" applyAlignment="1">
      <alignment horizontal="left" vertical="center" wrapText="1"/>
    </xf>
    <xf numFmtId="0" fontId="13" fillId="0" borderId="188" xfId="0" applyFont="1" applyBorder="1" applyAlignment="1">
      <alignment horizontal="left" vertical="top" wrapText="1"/>
    </xf>
    <xf numFmtId="0" fontId="13" fillId="0" borderId="189" xfId="0" applyFont="1" applyBorder="1" applyAlignment="1">
      <alignment horizontal="left" vertical="top" wrapText="1"/>
    </xf>
    <xf numFmtId="0" fontId="13" fillId="0" borderId="190" xfId="0" applyFont="1" applyBorder="1" applyAlignment="1">
      <alignment horizontal="left" vertical="top" wrapText="1"/>
    </xf>
    <xf numFmtId="0" fontId="15" fillId="0" borderId="39" xfId="0" quotePrefix="1" applyFont="1" applyBorder="1" applyAlignment="1">
      <alignment horizontal="center" vertical="center" wrapText="1"/>
    </xf>
    <xf numFmtId="0" fontId="13" fillId="0" borderId="108" xfId="0" applyFont="1" applyBorder="1" applyAlignment="1">
      <alignment horizontal="left" vertical="top" wrapText="1"/>
    </xf>
    <xf numFmtId="0" fontId="13" fillId="0" borderId="47" xfId="0" applyFont="1" applyBorder="1" applyAlignment="1">
      <alignment horizontal="left" vertical="top" wrapText="1"/>
    </xf>
    <xf numFmtId="49" fontId="17" fillId="31" borderId="157" xfId="0" applyNumberFormat="1" applyFont="1" applyFill="1" applyBorder="1" applyAlignment="1">
      <alignment horizontal="right" vertical="top"/>
    </xf>
    <xf numFmtId="49" fontId="17" fillId="31" borderId="158" xfId="0" applyNumberFormat="1" applyFont="1" applyFill="1" applyBorder="1" applyAlignment="1">
      <alignment horizontal="right" vertical="top"/>
    </xf>
    <xf numFmtId="0" fontId="15" fillId="0" borderId="23" xfId="0" quotePrefix="1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49" fontId="15" fillId="25" borderId="39" xfId="0" applyNumberFormat="1" applyFont="1" applyFill="1" applyBorder="1" applyAlignment="1">
      <alignment horizontal="center" vertical="center"/>
    </xf>
    <xf numFmtId="49" fontId="15" fillId="25" borderId="23" xfId="0" applyNumberFormat="1" applyFont="1" applyFill="1" applyBorder="1" applyAlignment="1">
      <alignment horizontal="center" vertical="center"/>
    </xf>
    <xf numFmtId="49" fontId="16" fillId="25" borderId="83" xfId="0" applyNumberFormat="1" applyFont="1" applyFill="1" applyBorder="1" applyAlignment="1">
      <alignment horizontal="center" vertical="top"/>
    </xf>
    <xf numFmtId="49" fontId="16" fillId="25" borderId="77" xfId="0" applyNumberFormat="1" applyFont="1" applyFill="1" applyBorder="1" applyAlignment="1">
      <alignment horizontal="center" vertical="top"/>
    </xf>
    <xf numFmtId="0" fontId="18" fillId="0" borderId="60" xfId="0" applyFont="1" applyBorder="1" applyAlignment="1">
      <alignment horizontal="center" textRotation="90" wrapText="1"/>
    </xf>
    <xf numFmtId="0" fontId="18" fillId="0" borderId="155" xfId="0" applyFont="1" applyBorder="1" applyAlignment="1">
      <alignment horizontal="center" textRotation="90" wrapText="1"/>
    </xf>
    <xf numFmtId="0" fontId="18" fillId="0" borderId="64" xfId="0" applyFont="1" applyBorder="1" applyAlignment="1">
      <alignment horizontal="center" textRotation="90" wrapText="1"/>
    </xf>
    <xf numFmtId="0" fontId="18" fillId="0" borderId="16" xfId="0" applyFont="1" applyBorder="1" applyAlignment="1">
      <alignment horizontal="center" textRotation="90" wrapText="1"/>
    </xf>
    <xf numFmtId="0" fontId="18" fillId="0" borderId="6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textRotation="90" wrapText="1"/>
    </xf>
    <xf numFmtId="0" fontId="18" fillId="0" borderId="8" xfId="0" applyFont="1" applyBorder="1" applyAlignment="1">
      <alignment horizontal="center" textRotation="90" wrapText="1"/>
    </xf>
    <xf numFmtId="0" fontId="13" fillId="0" borderId="8" xfId="0" applyFont="1" applyBorder="1" applyAlignment="1">
      <alignment horizontal="center" textRotation="90" wrapText="1"/>
    </xf>
    <xf numFmtId="49" fontId="16" fillId="25" borderId="9" xfId="0" applyNumberFormat="1" applyFont="1" applyFill="1" applyBorder="1" applyAlignment="1">
      <alignment horizontal="center" vertical="top"/>
    </xf>
    <xf numFmtId="0" fontId="13" fillId="25" borderId="78" xfId="0" applyFont="1" applyFill="1" applyBorder="1" applyAlignment="1">
      <alignment horizontal="left" vertical="top" wrapText="1"/>
    </xf>
    <xf numFmtId="0" fontId="15" fillId="25" borderId="39" xfId="0" applyFont="1" applyFill="1" applyBorder="1" applyAlignment="1">
      <alignment horizontal="center" vertical="center" wrapText="1"/>
    </xf>
    <xf numFmtId="0" fontId="15" fillId="25" borderId="23" xfId="0" applyFont="1" applyFill="1" applyBorder="1" applyAlignment="1">
      <alignment horizontal="left" vertical="center" wrapText="1"/>
    </xf>
    <xf numFmtId="49" fontId="14" fillId="25" borderId="39" xfId="0" applyNumberFormat="1" applyFont="1" applyFill="1" applyBorder="1" applyAlignment="1">
      <alignment horizontal="left" vertical="center" wrapText="1"/>
    </xf>
    <xf numFmtId="0" fontId="14" fillId="0" borderId="93" xfId="0" applyFont="1" applyBorder="1" applyAlignment="1">
      <alignment vertical="center" wrapText="1"/>
    </xf>
    <xf numFmtId="0" fontId="14" fillId="0" borderId="95" xfId="0" applyFont="1" applyBorder="1" applyAlignment="1">
      <alignment vertical="center" wrapText="1"/>
    </xf>
    <xf numFmtId="0" fontId="15" fillId="0" borderId="86" xfId="0" quotePrefix="1" applyFont="1" applyBorder="1" applyAlignment="1">
      <alignment horizontal="center" vertical="center" wrapText="1"/>
    </xf>
    <xf numFmtId="0" fontId="15" fillId="0" borderId="128" xfId="0" applyFont="1" applyBorder="1" applyAlignment="1">
      <alignment horizontal="left" vertical="center" wrapText="1"/>
    </xf>
    <xf numFmtId="0" fontId="17" fillId="29" borderId="49" xfId="0" applyFont="1" applyFill="1" applyBorder="1" applyAlignment="1">
      <alignment horizontal="left" vertical="top"/>
    </xf>
    <xf numFmtId="0" fontId="17" fillId="29" borderId="152" xfId="0" applyFont="1" applyFill="1" applyBorder="1" applyAlignment="1">
      <alignment horizontal="left" vertical="top"/>
    </xf>
    <xf numFmtId="0" fontId="17" fillId="29" borderId="153" xfId="0" applyFont="1" applyFill="1" applyBorder="1" applyAlignment="1">
      <alignment horizontal="left" vertical="top"/>
    </xf>
    <xf numFmtId="49" fontId="17" fillId="25" borderId="123" xfId="0" applyNumberFormat="1" applyFont="1" applyFill="1" applyBorder="1" applyAlignment="1">
      <alignment horizontal="center" vertical="top"/>
    </xf>
    <xf numFmtId="49" fontId="17" fillId="25" borderId="65" xfId="0" applyNumberFormat="1" applyFont="1" applyFill="1" applyBorder="1" applyAlignment="1">
      <alignment horizontal="center" vertical="top"/>
    </xf>
    <xf numFmtId="0" fontId="14" fillId="25" borderId="108" xfId="0" applyFont="1" applyFill="1" applyBorder="1" applyAlignment="1">
      <alignment horizontal="left" vertical="top" wrapText="1"/>
    </xf>
    <xf numFmtId="49" fontId="17" fillId="30" borderId="83" xfId="0" applyNumberFormat="1" applyFont="1" applyFill="1" applyBorder="1" applyAlignment="1">
      <alignment horizontal="center" vertical="top"/>
    </xf>
    <xf numFmtId="49" fontId="17" fillId="30" borderId="77" xfId="0" applyNumberFormat="1" applyFont="1" applyFill="1" applyBorder="1" applyAlignment="1">
      <alignment horizontal="center" vertical="top"/>
    </xf>
    <xf numFmtId="49" fontId="13" fillId="0" borderId="125" xfId="0" applyNumberFormat="1" applyFont="1" applyBorder="1" applyAlignment="1">
      <alignment vertical="center" wrapText="1"/>
    </xf>
    <xf numFmtId="49" fontId="13" fillId="0" borderId="164" xfId="0" applyNumberFormat="1" applyFont="1" applyBorder="1" applyAlignment="1">
      <alignment vertical="center" wrapText="1"/>
    </xf>
    <xf numFmtId="49" fontId="13" fillId="0" borderId="121" xfId="0" applyNumberFormat="1" applyFont="1" applyBorder="1" applyAlignment="1">
      <alignment vertical="center" wrapText="1"/>
    </xf>
    <xf numFmtId="49" fontId="16" fillId="25" borderId="74" xfId="34" quotePrefix="1" applyNumberFormat="1" applyFont="1" applyFill="1" applyBorder="1" applyAlignment="1">
      <alignment horizontal="center" vertical="top"/>
    </xf>
    <xf numFmtId="49" fontId="16" fillId="25" borderId="77" xfId="34" quotePrefix="1" applyNumberFormat="1" applyFont="1" applyFill="1" applyBorder="1" applyAlignment="1">
      <alignment horizontal="center" vertical="top"/>
    </xf>
    <xf numFmtId="0" fontId="13" fillId="25" borderId="0" xfId="0" applyFont="1" applyFill="1" applyAlignment="1">
      <alignment horizontal="left" vertical="top" wrapText="1"/>
    </xf>
    <xf numFmtId="0" fontId="15" fillId="0" borderId="88" xfId="0" applyFont="1" applyBorder="1" applyAlignment="1">
      <alignment horizontal="center" vertical="center" wrapText="1"/>
    </xf>
    <xf numFmtId="49" fontId="16" fillId="25" borderId="39" xfId="34" applyNumberFormat="1" applyFont="1" applyFill="1" applyBorder="1" applyAlignment="1">
      <alignment horizontal="center" vertical="top"/>
    </xf>
    <xf numFmtId="0" fontId="13" fillId="0" borderId="39" xfId="0" applyFont="1" applyBorder="1" applyAlignment="1">
      <alignment horizontal="left" vertical="top" wrapText="1"/>
    </xf>
    <xf numFmtId="0" fontId="13" fillId="0" borderId="74" xfId="0" applyFont="1" applyBorder="1" applyAlignment="1">
      <alignment horizontal="left" vertical="top" wrapText="1"/>
    </xf>
    <xf numFmtId="49" fontId="16" fillId="30" borderId="122" xfId="0" applyNumberFormat="1" applyFont="1" applyFill="1" applyBorder="1" applyAlignment="1">
      <alignment horizontal="center" vertical="top"/>
    </xf>
    <xf numFmtId="49" fontId="16" fillId="30" borderId="109" xfId="0" applyNumberFormat="1" applyFont="1" applyFill="1" applyBorder="1" applyAlignment="1">
      <alignment horizontal="center" vertical="top"/>
    </xf>
    <xf numFmtId="49" fontId="16" fillId="29" borderId="81" xfId="0" applyNumberFormat="1" applyFont="1" applyFill="1" applyBorder="1" applyAlignment="1">
      <alignment horizontal="center" vertical="top"/>
    </xf>
    <xf numFmtId="49" fontId="13" fillId="0" borderId="104" xfId="0" applyNumberFormat="1" applyFont="1" applyBorder="1" applyAlignment="1">
      <alignment vertical="center"/>
    </xf>
    <xf numFmtId="49" fontId="13" fillId="0" borderId="102" xfId="0" applyNumberFormat="1" applyFont="1" applyBorder="1" applyAlignment="1">
      <alignment vertical="center"/>
    </xf>
    <xf numFmtId="0" fontId="15" fillId="25" borderId="101" xfId="0" applyFont="1" applyFill="1" applyBorder="1" applyAlignment="1">
      <alignment horizontal="center" vertical="center" wrapText="1"/>
    </xf>
    <xf numFmtId="0" fontId="15" fillId="25" borderId="104" xfId="0" applyFont="1" applyFill="1" applyBorder="1" applyAlignment="1">
      <alignment horizontal="center" vertical="center" wrapText="1"/>
    </xf>
    <xf numFmtId="0" fontId="15" fillId="25" borderId="102" xfId="0" applyFont="1" applyFill="1" applyBorder="1" applyAlignment="1">
      <alignment horizontal="center" vertical="center" wrapText="1"/>
    </xf>
    <xf numFmtId="0" fontId="15" fillId="25" borderId="83" xfId="0" applyFont="1" applyFill="1" applyBorder="1" applyAlignment="1">
      <alignment vertical="center" wrapText="1"/>
    </xf>
    <xf numFmtId="0" fontId="15" fillId="25" borderId="77" xfId="0" applyFont="1" applyFill="1" applyBorder="1" applyAlignment="1">
      <alignment vertical="center" wrapText="1"/>
    </xf>
    <xf numFmtId="0" fontId="15" fillId="25" borderId="114" xfId="0" applyFont="1" applyFill="1" applyBorder="1" applyAlignment="1">
      <alignment vertical="center" wrapText="1"/>
    </xf>
    <xf numFmtId="49" fontId="17" fillId="29" borderId="101" xfId="0" applyNumberFormat="1" applyFont="1" applyFill="1" applyBorder="1" applyAlignment="1">
      <alignment horizontal="center" vertical="top"/>
    </xf>
    <xf numFmtId="0" fontId="15" fillId="25" borderId="77" xfId="0" applyFont="1" applyFill="1" applyBorder="1" applyAlignment="1">
      <alignment horizontal="center" vertical="center" wrapText="1"/>
    </xf>
    <xf numFmtId="0" fontId="15" fillId="25" borderId="73" xfId="0" applyFont="1" applyFill="1" applyBorder="1" applyAlignment="1">
      <alignment horizontal="center" vertical="center" wrapText="1"/>
    </xf>
    <xf numFmtId="0" fontId="15" fillId="25" borderId="0" xfId="0" applyFont="1" applyFill="1" applyAlignment="1">
      <alignment horizontal="center" vertical="center" wrapText="1"/>
    </xf>
    <xf numFmtId="49" fontId="16" fillId="25" borderId="88" xfId="0" applyNumberFormat="1" applyFont="1" applyFill="1" applyBorder="1" applyAlignment="1">
      <alignment horizontal="center" vertical="top"/>
    </xf>
    <xf numFmtId="49" fontId="15" fillId="25" borderId="86" xfId="0" applyNumberFormat="1" applyFont="1" applyFill="1" applyBorder="1" applyAlignment="1">
      <alignment horizontal="left" vertical="top" wrapText="1"/>
    </xf>
    <xf numFmtId="49" fontId="15" fillId="25" borderId="88" xfId="0" applyNumberFormat="1" applyFont="1" applyFill="1" applyBorder="1" applyAlignment="1">
      <alignment horizontal="left" vertical="top" wrapText="1"/>
    </xf>
    <xf numFmtId="49" fontId="15" fillId="25" borderId="86" xfId="0" applyNumberFormat="1" applyFont="1" applyFill="1" applyBorder="1" applyAlignment="1">
      <alignment horizontal="center" vertical="center"/>
    </xf>
    <xf numFmtId="49" fontId="15" fillId="25" borderId="87" xfId="0" applyNumberFormat="1" applyFont="1" applyFill="1" applyBorder="1" applyAlignment="1">
      <alignment horizontal="center" vertical="center"/>
    </xf>
    <xf numFmtId="49" fontId="15" fillId="25" borderId="88" xfId="0" applyNumberFormat="1" applyFont="1" applyFill="1" applyBorder="1" applyAlignment="1">
      <alignment horizontal="center" vertical="center"/>
    </xf>
    <xf numFmtId="49" fontId="15" fillId="25" borderId="86" xfId="0" applyNumberFormat="1" applyFont="1" applyFill="1" applyBorder="1" applyAlignment="1">
      <alignment horizontal="left" vertical="center" wrapText="1"/>
    </xf>
    <xf numFmtId="49" fontId="15" fillId="25" borderId="87" xfId="0" applyNumberFormat="1" applyFont="1" applyFill="1" applyBorder="1" applyAlignment="1">
      <alignment horizontal="left" vertical="center" wrapText="1"/>
    </xf>
    <xf numFmtId="49" fontId="15" fillId="25" borderId="88" xfId="0" applyNumberFormat="1" applyFont="1" applyFill="1" applyBorder="1" applyAlignment="1">
      <alignment horizontal="left" vertical="center" wrapText="1"/>
    </xf>
    <xf numFmtId="49" fontId="15" fillId="25" borderId="86" xfId="0" applyNumberFormat="1" applyFont="1" applyFill="1" applyBorder="1" applyAlignment="1">
      <alignment horizontal="left" vertical="center"/>
    </xf>
    <xf numFmtId="49" fontId="15" fillId="25" borderId="87" xfId="0" applyNumberFormat="1" applyFont="1" applyFill="1" applyBorder="1" applyAlignment="1">
      <alignment horizontal="left" vertical="center"/>
    </xf>
    <xf numFmtId="49" fontId="15" fillId="25" borderId="88" xfId="0" applyNumberFormat="1" applyFont="1" applyFill="1" applyBorder="1" applyAlignment="1">
      <alignment horizontal="left" vertical="center"/>
    </xf>
    <xf numFmtId="0" fontId="15" fillId="0" borderId="24" xfId="0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165" fontId="13" fillId="0" borderId="192" xfId="35" applyNumberFormat="1" applyFont="1" applyBorder="1" applyAlignment="1">
      <alignment horizontal="left" vertical="center" wrapText="1"/>
    </xf>
    <xf numFmtId="165" fontId="13" fillId="0" borderId="191" xfId="35" applyNumberFormat="1" applyFont="1" applyBorder="1" applyAlignment="1">
      <alignment horizontal="left" vertical="center" wrapText="1"/>
    </xf>
    <xf numFmtId="49" fontId="17" fillId="30" borderId="22" xfId="0" applyNumberFormat="1" applyFont="1" applyFill="1" applyBorder="1" applyAlignment="1">
      <alignment horizontal="left" vertical="top"/>
    </xf>
    <xf numFmtId="49" fontId="17" fillId="30" borderId="42" xfId="0" applyNumberFormat="1" applyFont="1" applyFill="1" applyBorder="1" applyAlignment="1">
      <alignment horizontal="left" vertical="top"/>
    </xf>
    <xf numFmtId="49" fontId="17" fillId="30" borderId="65" xfId="0" applyNumberFormat="1" applyFont="1" applyFill="1" applyBorder="1" applyAlignment="1">
      <alignment horizontal="left" vertical="top"/>
    </xf>
    <xf numFmtId="49" fontId="16" fillId="30" borderId="78" xfId="0" applyNumberFormat="1" applyFont="1" applyFill="1" applyBorder="1" applyAlignment="1">
      <alignment horizontal="center" vertical="top"/>
    </xf>
    <xf numFmtId="49" fontId="16" fillId="30" borderId="79" xfId="0" applyNumberFormat="1" applyFont="1" applyFill="1" applyBorder="1" applyAlignment="1">
      <alignment horizontal="center" vertical="top"/>
    </xf>
    <xf numFmtId="0" fontId="30" fillId="0" borderId="132" xfId="0" applyFont="1" applyBorder="1" applyAlignment="1">
      <alignment horizontal="left" vertical="top" wrapText="1"/>
    </xf>
    <xf numFmtId="0" fontId="30" fillId="0" borderId="5" xfId="0" applyFont="1" applyBorder="1" applyAlignment="1">
      <alignment horizontal="left" vertical="top" wrapText="1"/>
    </xf>
    <xf numFmtId="0" fontId="30" fillId="0" borderId="6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49" fontId="17" fillId="29" borderId="58" xfId="0" applyNumberFormat="1" applyFont="1" applyFill="1" applyBorder="1" applyAlignment="1">
      <alignment horizontal="right" vertical="top"/>
    </xf>
    <xf numFmtId="0" fontId="14" fillId="25" borderId="77" xfId="0" applyFont="1" applyFill="1" applyBorder="1" applyAlignment="1">
      <alignment horizontal="left" vertical="center" wrapText="1"/>
    </xf>
    <xf numFmtId="0" fontId="15" fillId="25" borderId="179" xfId="0" applyFont="1" applyFill="1" applyBorder="1" applyAlignment="1">
      <alignment horizontal="center" vertical="center" wrapText="1"/>
    </xf>
    <xf numFmtId="0" fontId="15" fillId="25" borderId="88" xfId="0" applyFont="1" applyFill="1" applyBorder="1" applyAlignment="1">
      <alignment horizontal="center" vertical="center" wrapText="1"/>
    </xf>
    <xf numFmtId="0" fontId="15" fillId="25" borderId="86" xfId="0" applyFont="1" applyFill="1" applyBorder="1" applyAlignment="1">
      <alignment horizontal="left" vertical="top" wrapText="1"/>
    </xf>
    <xf numFmtId="0" fontId="15" fillId="25" borderId="87" xfId="0" applyFont="1" applyFill="1" applyBorder="1" applyAlignment="1">
      <alignment horizontal="left" vertical="top" wrapText="1"/>
    </xf>
    <xf numFmtId="0" fontId="15" fillId="25" borderId="88" xfId="0" applyFont="1" applyFill="1" applyBorder="1" applyAlignment="1">
      <alignment horizontal="left" vertical="top" wrapText="1"/>
    </xf>
    <xf numFmtId="0" fontId="15" fillId="0" borderId="73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99" xfId="0" applyFont="1" applyBorder="1" applyAlignment="1">
      <alignment horizontal="left" vertical="center" wrapText="1"/>
    </xf>
    <xf numFmtId="0" fontId="14" fillId="0" borderId="95" xfId="0" applyFont="1" applyBorder="1" applyAlignment="1">
      <alignment horizontal="left" vertical="center" wrapText="1"/>
    </xf>
    <xf numFmtId="0" fontId="14" fillId="0" borderId="87" xfId="0" applyFont="1" applyBorder="1" applyAlignment="1">
      <alignment horizontal="left" vertical="center" wrapText="1"/>
    </xf>
    <xf numFmtId="0" fontId="14" fillId="0" borderId="86" xfId="0" applyFont="1" applyBorder="1" applyAlignment="1">
      <alignment horizontal="left" vertical="center" wrapText="1"/>
    </xf>
    <xf numFmtId="0" fontId="14" fillId="0" borderId="88" xfId="0" applyFont="1" applyBorder="1" applyAlignment="1">
      <alignment horizontal="left" vertical="center" wrapText="1"/>
    </xf>
    <xf numFmtId="49" fontId="14" fillId="25" borderId="86" xfId="0" quotePrefix="1" applyNumberFormat="1" applyFont="1" applyFill="1" applyBorder="1" applyAlignment="1">
      <alignment horizontal="center" vertical="center" wrapText="1"/>
    </xf>
    <xf numFmtId="49" fontId="14" fillId="25" borderId="87" xfId="0" quotePrefix="1" applyNumberFormat="1" applyFont="1" applyFill="1" applyBorder="1" applyAlignment="1">
      <alignment horizontal="center" vertical="center" wrapText="1"/>
    </xf>
    <xf numFmtId="49" fontId="14" fillId="25" borderId="88" xfId="0" quotePrefix="1" applyNumberFormat="1" applyFont="1" applyFill="1" applyBorder="1" applyAlignment="1">
      <alignment horizontal="center" vertical="center" wrapText="1"/>
    </xf>
    <xf numFmtId="49" fontId="15" fillId="25" borderId="87" xfId="0" quotePrefix="1" applyNumberFormat="1" applyFont="1" applyFill="1" applyBorder="1" applyAlignment="1">
      <alignment horizontal="center" vertical="center" wrapText="1"/>
    </xf>
    <xf numFmtId="49" fontId="15" fillId="25" borderId="87" xfId="0" applyNumberFormat="1" applyFont="1" applyFill="1" applyBorder="1" applyAlignment="1">
      <alignment horizontal="center" vertical="center" wrapText="1"/>
    </xf>
    <xf numFmtId="0" fontId="13" fillId="25" borderId="101" xfId="0" applyFont="1" applyFill="1" applyBorder="1" applyAlignment="1">
      <alignment horizontal="left" vertical="top" wrapText="1"/>
    </xf>
    <xf numFmtId="0" fontId="13" fillId="25" borderId="104" xfId="0" applyFont="1" applyFill="1" applyBorder="1" applyAlignment="1">
      <alignment horizontal="left" vertical="top" wrapText="1"/>
    </xf>
    <xf numFmtId="0" fontId="13" fillId="25" borderId="102" xfId="0" applyFont="1" applyFill="1" applyBorder="1" applyAlignment="1">
      <alignment horizontal="left" vertical="top" wrapText="1"/>
    </xf>
    <xf numFmtId="0" fontId="13" fillId="25" borderId="83" xfId="0" applyFont="1" applyFill="1" applyBorder="1" applyAlignment="1">
      <alignment horizontal="left" vertical="top" wrapText="1"/>
    </xf>
    <xf numFmtId="0" fontId="13" fillId="25" borderId="77" xfId="0" applyFont="1" applyFill="1" applyBorder="1" applyAlignment="1">
      <alignment horizontal="left" vertical="top" wrapText="1"/>
    </xf>
    <xf numFmtId="0" fontId="13" fillId="0" borderId="125" xfId="0" applyFont="1" applyBorder="1" applyAlignment="1">
      <alignment vertical="center" wrapText="1"/>
    </xf>
    <xf numFmtId="0" fontId="13" fillId="0" borderId="145" xfId="0" applyFont="1" applyBorder="1" applyAlignment="1">
      <alignment vertical="center" wrapText="1"/>
    </xf>
    <xf numFmtId="0" fontId="15" fillId="0" borderId="114" xfId="0" applyFont="1" applyBorder="1" applyAlignment="1">
      <alignment horizontal="left" vertical="center" wrapText="1"/>
    </xf>
    <xf numFmtId="0" fontId="15" fillId="0" borderId="72" xfId="0" applyFont="1" applyBorder="1" applyAlignment="1">
      <alignment horizontal="left" vertical="center" wrapText="1"/>
    </xf>
    <xf numFmtId="49" fontId="16" fillId="29" borderId="88" xfId="0" applyNumberFormat="1" applyFont="1" applyFill="1" applyBorder="1" applyAlignment="1">
      <alignment horizontal="right" vertical="center"/>
    </xf>
    <xf numFmtId="49" fontId="16" fillId="29" borderId="99" xfId="0" applyNumberFormat="1" applyFont="1" applyFill="1" applyBorder="1" applyAlignment="1">
      <alignment horizontal="right" vertical="center"/>
    </xf>
    <xf numFmtId="49" fontId="15" fillId="0" borderId="47" xfId="0" quotePrefix="1" applyNumberFormat="1" applyFont="1" applyBorder="1" applyAlignment="1">
      <alignment horizontal="center" vertical="center"/>
    </xf>
    <xf numFmtId="0" fontId="14" fillId="0" borderId="98" xfId="0" applyFont="1" applyBorder="1" applyAlignment="1">
      <alignment horizontal="left" vertical="center" wrapText="1"/>
    </xf>
    <xf numFmtId="0" fontId="14" fillId="0" borderId="99" xfId="0" applyFont="1" applyBorder="1" applyAlignment="1">
      <alignment horizontal="left" vertical="center" wrapText="1"/>
    </xf>
    <xf numFmtId="165" fontId="13" fillId="34" borderId="185" xfId="35" applyNumberFormat="1" applyFont="1" applyFill="1" applyBorder="1" applyAlignment="1">
      <alignment horizontal="left" vertical="center" wrapText="1"/>
    </xf>
    <xf numFmtId="165" fontId="13" fillId="34" borderId="74" xfId="35" applyNumberFormat="1" applyFont="1" applyFill="1" applyBorder="1" applyAlignment="1">
      <alignment horizontal="left" vertical="center" wrapText="1"/>
    </xf>
    <xf numFmtId="49" fontId="15" fillId="25" borderId="83" xfId="0" applyNumberFormat="1" applyFont="1" applyFill="1" applyBorder="1" applyAlignment="1">
      <alignment horizontal="center" vertical="center"/>
    </xf>
    <xf numFmtId="49" fontId="15" fillId="25" borderId="72" xfId="0" applyNumberFormat="1" applyFont="1" applyFill="1" applyBorder="1" applyAlignment="1">
      <alignment horizontal="center" vertical="center"/>
    </xf>
    <xf numFmtId="49" fontId="16" fillId="37" borderId="99" xfId="0" applyNumberFormat="1" applyFont="1" applyFill="1" applyBorder="1" applyAlignment="1">
      <alignment horizontal="center" vertical="top"/>
    </xf>
    <xf numFmtId="49" fontId="16" fillId="25" borderId="86" xfId="34" quotePrefix="1" applyNumberFormat="1" applyFont="1" applyFill="1" applyBorder="1" applyAlignment="1">
      <alignment horizontal="center" vertical="top"/>
    </xf>
    <xf numFmtId="49" fontId="16" fillId="25" borderId="88" xfId="34" quotePrefix="1" applyNumberFormat="1" applyFont="1" applyFill="1" applyBorder="1" applyAlignment="1">
      <alignment horizontal="center" vertical="top"/>
    </xf>
    <xf numFmtId="0" fontId="15" fillId="25" borderId="100" xfId="0" applyFont="1" applyFill="1" applyBorder="1" applyAlignment="1">
      <alignment horizontal="left" vertical="center" wrapText="1"/>
    </xf>
    <xf numFmtId="0" fontId="15" fillId="25" borderId="39" xfId="0" applyFont="1" applyFill="1" applyBorder="1" applyAlignment="1">
      <alignment horizontal="left" vertical="center" wrapText="1"/>
    </xf>
    <xf numFmtId="0" fontId="13" fillId="25" borderId="192" xfId="0" applyFont="1" applyFill="1" applyBorder="1" applyAlignment="1">
      <alignment horizontal="center" vertical="center"/>
    </xf>
    <xf numFmtId="2" fontId="11" fillId="25" borderId="192" xfId="0" applyNumberFormat="1" applyFont="1" applyFill="1" applyBorder="1" applyAlignment="1">
      <alignment horizontal="center" vertical="center"/>
    </xf>
    <xf numFmtId="2" fontId="13" fillId="25" borderId="192" xfId="0" applyNumberFormat="1" applyFont="1" applyFill="1" applyBorder="1" applyAlignment="1">
      <alignment horizontal="center" vertical="center"/>
    </xf>
    <xf numFmtId="49" fontId="15" fillId="25" borderId="33" xfId="0" applyNumberFormat="1" applyFont="1" applyFill="1" applyBorder="1" applyAlignment="1">
      <alignment horizontal="left" vertical="center" wrapText="1"/>
    </xf>
    <xf numFmtId="165" fontId="13" fillId="0" borderId="39" xfId="35" applyNumberFormat="1" applyFont="1" applyBorder="1" applyAlignment="1">
      <alignment horizontal="left" vertical="center" wrapText="1"/>
    </xf>
    <xf numFmtId="165" fontId="13" fillId="0" borderId="74" xfId="35" applyNumberFormat="1" applyFont="1" applyBorder="1" applyAlignment="1">
      <alignment horizontal="left" vertical="center" wrapText="1"/>
    </xf>
    <xf numFmtId="0" fontId="14" fillId="0" borderId="119" xfId="0" applyFont="1" applyBorder="1" applyAlignment="1">
      <alignment horizontal="left" vertical="center" wrapText="1"/>
    </xf>
    <xf numFmtId="165" fontId="13" fillId="0" borderId="181" xfId="35" applyNumberFormat="1" applyFont="1" applyBorder="1" applyAlignment="1">
      <alignment horizontal="left" vertical="center" wrapText="1"/>
    </xf>
    <xf numFmtId="165" fontId="13" fillId="0" borderId="203" xfId="35" applyNumberFormat="1" applyFont="1" applyBorder="1" applyAlignment="1">
      <alignment horizontal="left" vertical="center" wrapText="1"/>
    </xf>
    <xf numFmtId="0" fontId="14" fillId="0" borderId="192" xfId="0" applyFont="1" applyBorder="1" applyAlignment="1">
      <alignment horizontal="left" vertical="center" wrapText="1"/>
    </xf>
    <xf numFmtId="0" fontId="14" fillId="0" borderId="191" xfId="0" applyFont="1" applyBorder="1" applyAlignment="1">
      <alignment horizontal="left" vertical="center" wrapText="1"/>
    </xf>
    <xf numFmtId="0" fontId="15" fillId="25" borderId="47" xfId="0" applyFont="1" applyFill="1" applyBorder="1" applyAlignment="1">
      <alignment horizontal="left" vertical="center" wrapText="1"/>
    </xf>
    <xf numFmtId="0" fontId="15" fillId="25" borderId="33" xfId="0" applyFont="1" applyFill="1" applyBorder="1" applyAlignment="1">
      <alignment horizontal="left" vertical="center" wrapText="1"/>
    </xf>
    <xf numFmtId="165" fontId="13" fillId="0" borderId="47" xfId="35" applyNumberFormat="1" applyFont="1" applyBorder="1" applyAlignment="1">
      <alignment horizontal="left" vertical="center" wrapText="1"/>
    </xf>
    <xf numFmtId="165" fontId="13" fillId="0" borderId="33" xfId="35" applyNumberFormat="1" applyFont="1" applyBorder="1" applyAlignment="1">
      <alignment horizontal="left" vertical="center" wrapText="1"/>
    </xf>
    <xf numFmtId="49" fontId="15" fillId="25" borderId="22" xfId="0" quotePrefix="1" applyNumberFormat="1" applyFont="1" applyFill="1" applyBorder="1" applyAlignment="1">
      <alignment horizontal="center" vertical="center" wrapText="1"/>
    </xf>
    <xf numFmtId="49" fontId="15" fillId="25" borderId="23" xfId="0" quotePrefix="1" applyNumberFormat="1" applyFont="1" applyFill="1" applyBorder="1" applyAlignment="1">
      <alignment horizontal="center" vertical="center" wrapText="1"/>
    </xf>
    <xf numFmtId="49" fontId="15" fillId="25" borderId="24" xfId="0" quotePrefix="1" applyNumberFormat="1" applyFont="1" applyFill="1" applyBorder="1" applyAlignment="1">
      <alignment horizontal="center" vertical="center" wrapText="1"/>
    </xf>
    <xf numFmtId="0" fontId="24" fillId="0" borderId="211" xfId="0" applyFont="1" applyBorder="1" applyAlignment="1">
      <alignment wrapText="1"/>
    </xf>
    <xf numFmtId="0" fontId="24" fillId="0" borderId="212" xfId="0" applyFont="1" applyBorder="1" applyAlignment="1">
      <alignment wrapText="1"/>
    </xf>
    <xf numFmtId="0" fontId="22" fillId="0" borderId="209" xfId="0" applyFont="1" applyBorder="1" applyAlignment="1">
      <alignment wrapText="1"/>
    </xf>
    <xf numFmtId="0" fontId="22" fillId="0" borderId="210" xfId="0" applyFont="1" applyBorder="1" applyAlignment="1">
      <alignment wrapText="1"/>
    </xf>
  </cellXfs>
  <cellStyles count="3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4" xr:uid="{00000000-0005-0000-0000-000012000000}"/>
    <cellStyle name="Accent2 2" xfId="25" xr:uid="{00000000-0005-0000-0000-000013000000}"/>
    <cellStyle name="Accent3 2" xfId="26" xr:uid="{00000000-0005-0000-0000-000014000000}"/>
    <cellStyle name="Accent4 2" xfId="27" xr:uid="{00000000-0005-0000-0000-000015000000}"/>
    <cellStyle name="Accent5 2" xfId="28" xr:uid="{00000000-0005-0000-0000-000016000000}"/>
    <cellStyle name="Accent6 2" xfId="29" xr:uid="{00000000-0005-0000-0000-000017000000}"/>
    <cellStyle name="Bad 2" xfId="20" xr:uid="{00000000-0005-0000-0000-000018000000}"/>
    <cellStyle name="Calculation 2" xfId="31" xr:uid="{00000000-0005-0000-0000-000019000000}"/>
    <cellStyle name="Check Cell 2" xfId="33" xr:uid="{00000000-0005-0000-0000-00001A000000}"/>
    <cellStyle name="Comma 2" xfId="34" xr:uid="{00000000-0005-0000-0000-00001B000000}"/>
    <cellStyle name="Input 2" xfId="21" xr:uid="{00000000-0005-0000-0000-00001C000000}"/>
    <cellStyle name="Įprastas" xfId="0" builtinId="0"/>
    <cellStyle name="Linked Cell 2" xfId="32" xr:uid="{00000000-0005-0000-0000-00001E000000}"/>
    <cellStyle name="Neutral 2" xfId="22" xr:uid="{00000000-0005-0000-0000-00001F000000}"/>
    <cellStyle name="Normal 2" xfId="1" xr:uid="{00000000-0005-0000-0000-000020000000}"/>
    <cellStyle name="Normal 2 3" xfId="37" xr:uid="{00000000-0005-0000-0000-000021000000}"/>
    <cellStyle name="Normal 2 4" xfId="38" xr:uid="{00000000-0005-0000-0000-000022000000}"/>
    <cellStyle name="Normal 3" xfId="35" xr:uid="{00000000-0005-0000-0000-000023000000}"/>
    <cellStyle name="Normal_4 priedas_suvestine3" xfId="23" xr:uid="{00000000-0005-0000-0000-000024000000}"/>
    <cellStyle name="Note 2" xfId="30" xr:uid="{00000000-0005-0000-0000-000025000000}"/>
    <cellStyle name="Percent 2" xfId="36" xr:uid="{00000000-0005-0000-0000-000026000000}"/>
  </cellStyles>
  <dxfs count="0"/>
  <tableStyles count="0" defaultTableStyle="TableStyleMedium2" defaultPivotStyle="PivotStyleLight16"/>
  <colors>
    <mruColors>
      <color rgb="FF9FD498"/>
      <color rgb="FFB9E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11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16</xdr:col>
      <xdr:colOff>766</xdr:colOff>
      <xdr:row>14</xdr:row>
      <xdr:rowOff>86172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E62FE2-D77C-67C8-B27D-9E8AA6DE0D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00975" y="0"/>
          <a:ext cx="5487166" cy="320084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Violeta Grajauskiene" id="{96AB8F43-B15B-4067-8C0A-720CD70966BA}" userId="fa002eff8357cfec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272" dT="2025-06-23T08:42:54.08" personId="{96AB8F43-B15B-4067-8C0A-720CD70966BA}" id="{2BEB744C-7159-45CC-900B-0E0A3EE19E31}">
    <text>15 tukst. Visos dienos, nes per Audrone neina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86"/>
  <sheetViews>
    <sheetView tabSelected="1" zoomScale="115" zoomScaleNormal="115" workbookViewId="0">
      <pane ySplit="11" topLeftCell="A182" activePane="bottomLeft" state="frozen"/>
      <selection pane="bottomLeft" activeCell="K184" sqref="K184"/>
    </sheetView>
  </sheetViews>
  <sheetFormatPr defaultColWidth="9.109375" defaultRowHeight="12" x14ac:dyDescent="0.25"/>
  <cols>
    <col min="1" max="1" width="5.6640625" style="13" customWidth="1"/>
    <col min="2" max="3" width="5.33203125" style="13" customWidth="1"/>
    <col min="4" max="4" width="22.109375" style="13" customWidth="1"/>
    <col min="5" max="5" width="6.5546875" style="13" customWidth="1"/>
    <col min="6" max="6" width="28.109375" style="13" customWidth="1"/>
    <col min="7" max="7" width="19.109375" style="13" customWidth="1"/>
    <col min="8" max="8" width="13.6640625" style="13" customWidth="1"/>
    <col min="9" max="9" width="9.109375" style="13"/>
    <col min="10" max="10" width="9.109375" style="15"/>
    <col min="11" max="11" width="9.33203125" style="13" bestFit="1" customWidth="1"/>
    <col min="12" max="16384" width="9.109375" style="13"/>
  </cols>
  <sheetData>
    <row r="1" spans="1:15" ht="21.75" customHeight="1" x14ac:dyDescent="0.25">
      <c r="B1" s="95"/>
      <c r="C1" s="95"/>
      <c r="D1" s="95"/>
      <c r="E1" s="95"/>
      <c r="F1" s="95"/>
      <c r="G1" s="95"/>
      <c r="H1" s="95"/>
      <c r="I1" s="446" t="s">
        <v>188</v>
      </c>
      <c r="J1" s="446"/>
      <c r="K1" s="446"/>
      <c r="L1" s="446"/>
    </row>
    <row r="2" spans="1:15" ht="37.5" hidden="1" customHeight="1" x14ac:dyDescent="0.25">
      <c r="B2" s="302"/>
      <c r="C2" s="302"/>
      <c r="D2" s="302"/>
      <c r="E2" s="302"/>
      <c r="F2" s="302"/>
      <c r="G2" s="302"/>
      <c r="H2" s="302"/>
      <c r="I2" s="451" t="s">
        <v>89</v>
      </c>
      <c r="J2" s="451"/>
      <c r="K2" s="451"/>
      <c r="L2" s="451"/>
    </row>
    <row r="3" spans="1:15" ht="37.5" hidden="1" customHeight="1" x14ac:dyDescent="0.25">
      <c r="B3" s="302"/>
      <c r="C3" s="302"/>
      <c r="D3" s="302"/>
      <c r="E3" s="302"/>
      <c r="F3" s="302"/>
      <c r="G3" s="302"/>
      <c r="H3" s="302"/>
      <c r="I3" s="451" t="s">
        <v>0</v>
      </c>
      <c r="J3" s="451"/>
      <c r="K3" s="451"/>
      <c r="L3" s="451"/>
    </row>
    <row r="4" spans="1:15" x14ac:dyDescent="0.25">
      <c r="B4" s="302"/>
      <c r="C4" s="302"/>
      <c r="D4" s="302"/>
      <c r="E4" s="302"/>
      <c r="F4" s="302"/>
      <c r="G4" s="302"/>
      <c r="H4" s="302"/>
      <c r="I4" s="302"/>
      <c r="J4" s="302"/>
      <c r="K4" s="302"/>
    </row>
    <row r="5" spans="1:15" ht="22.5" customHeight="1" x14ac:dyDescent="0.25">
      <c r="B5" s="302"/>
      <c r="C5" s="302"/>
      <c r="D5" s="302"/>
      <c r="E5" s="302"/>
      <c r="F5" s="302"/>
      <c r="G5" s="302"/>
      <c r="H5" s="302"/>
      <c r="I5" s="446" t="s">
        <v>1</v>
      </c>
      <c r="J5" s="446"/>
      <c r="K5" s="446"/>
      <c r="L5" s="446"/>
    </row>
    <row r="6" spans="1:15" x14ac:dyDescent="0.25">
      <c r="B6" s="302"/>
      <c r="C6" s="302"/>
      <c r="D6" s="302"/>
      <c r="E6" s="302"/>
      <c r="F6" s="302"/>
      <c r="G6" s="302"/>
      <c r="H6" s="302"/>
      <c r="I6" s="302"/>
      <c r="J6" s="302"/>
      <c r="K6" s="302"/>
    </row>
    <row r="7" spans="1:15" ht="28.5" customHeight="1" x14ac:dyDescent="0.25">
      <c r="B7" s="484" t="s">
        <v>187</v>
      </c>
      <c r="C7" s="484"/>
      <c r="D7" s="484"/>
      <c r="E7" s="484"/>
      <c r="F7" s="484"/>
      <c r="G7" s="484"/>
      <c r="H7" s="484"/>
      <c r="I7" s="484"/>
      <c r="J7" s="484"/>
      <c r="K7" s="484"/>
    </row>
    <row r="8" spans="1:15" x14ac:dyDescent="0.25">
      <c r="B8" s="14"/>
      <c r="C8" s="14"/>
      <c r="D8" s="14"/>
      <c r="E8" s="14"/>
      <c r="F8" s="14"/>
      <c r="G8" s="14"/>
      <c r="H8" s="14"/>
      <c r="I8" s="14"/>
      <c r="J8" s="49"/>
      <c r="K8" s="50"/>
    </row>
    <row r="9" spans="1:15" ht="22.8" x14ac:dyDescent="0.25">
      <c r="A9" s="729" t="s">
        <v>2</v>
      </c>
      <c r="B9" s="731" t="s">
        <v>3</v>
      </c>
      <c r="C9" s="731" t="s">
        <v>4</v>
      </c>
      <c r="D9" s="733" t="s">
        <v>5</v>
      </c>
      <c r="E9" s="735" t="s">
        <v>6</v>
      </c>
      <c r="F9" s="735" t="s">
        <v>7</v>
      </c>
      <c r="G9" s="735" t="s">
        <v>8</v>
      </c>
      <c r="H9" s="445" t="s">
        <v>9</v>
      </c>
      <c r="I9" s="735" t="s">
        <v>10</v>
      </c>
      <c r="J9" s="16" t="s">
        <v>11</v>
      </c>
      <c r="K9" s="17" t="s">
        <v>12</v>
      </c>
      <c r="L9" s="18" t="s">
        <v>13</v>
      </c>
    </row>
    <row r="10" spans="1:15" ht="15" customHeight="1" x14ac:dyDescent="0.25">
      <c r="A10" s="730"/>
      <c r="B10" s="732"/>
      <c r="C10" s="732"/>
      <c r="D10" s="734"/>
      <c r="E10" s="736"/>
      <c r="F10" s="736"/>
      <c r="G10" s="736"/>
      <c r="H10" s="737"/>
      <c r="I10" s="736"/>
      <c r="J10" s="485" t="s">
        <v>14</v>
      </c>
      <c r="K10" s="486" t="s">
        <v>14</v>
      </c>
      <c r="L10" s="444" t="s">
        <v>14</v>
      </c>
    </row>
    <row r="11" spans="1:15" ht="51.75" customHeight="1" x14ac:dyDescent="0.25">
      <c r="A11" s="730"/>
      <c r="B11" s="732"/>
      <c r="C11" s="732"/>
      <c r="D11" s="734"/>
      <c r="E11" s="736"/>
      <c r="F11" s="736"/>
      <c r="G11" s="736"/>
      <c r="H11" s="737"/>
      <c r="I11" s="736"/>
      <c r="J11" s="485"/>
      <c r="K11" s="486"/>
      <c r="L11" s="444"/>
    </row>
    <row r="12" spans="1:15" ht="15.75" customHeight="1" x14ac:dyDescent="0.25">
      <c r="A12" s="51" t="s">
        <v>90</v>
      </c>
      <c r="B12" s="52"/>
      <c r="C12" s="52"/>
      <c r="D12" s="52"/>
      <c r="E12" s="52"/>
      <c r="F12" s="52"/>
      <c r="G12" s="52"/>
      <c r="H12" s="52"/>
      <c r="I12" s="52"/>
      <c r="J12" s="53"/>
      <c r="K12" s="52"/>
      <c r="L12" s="54"/>
    </row>
    <row r="13" spans="1:15" x14ac:dyDescent="0.25">
      <c r="A13" s="26" t="s">
        <v>15</v>
      </c>
      <c r="B13" s="55" t="s">
        <v>91</v>
      </c>
      <c r="C13" s="56"/>
      <c r="D13" s="56"/>
      <c r="E13" s="56"/>
      <c r="F13" s="56"/>
      <c r="G13" s="56"/>
      <c r="H13" s="56"/>
      <c r="I13" s="56"/>
      <c r="J13" s="57"/>
      <c r="K13" s="56"/>
      <c r="L13" s="58"/>
    </row>
    <row r="14" spans="1:15" ht="15.75" customHeight="1" x14ac:dyDescent="0.25">
      <c r="A14" s="59" t="s">
        <v>15</v>
      </c>
      <c r="B14" s="60" t="s">
        <v>15</v>
      </c>
      <c r="C14" s="747" t="s">
        <v>92</v>
      </c>
      <c r="D14" s="748"/>
      <c r="E14" s="748"/>
      <c r="F14" s="748"/>
      <c r="G14" s="748"/>
      <c r="H14" s="748"/>
      <c r="I14" s="748"/>
      <c r="J14" s="748"/>
      <c r="K14" s="748"/>
      <c r="L14" s="749"/>
    </row>
    <row r="15" spans="1:15" ht="24" customHeight="1" x14ac:dyDescent="0.25">
      <c r="A15" s="753" t="s">
        <v>15</v>
      </c>
      <c r="B15" s="776" t="s">
        <v>15</v>
      </c>
      <c r="C15" s="738" t="s">
        <v>15</v>
      </c>
      <c r="D15" s="739" t="s">
        <v>93</v>
      </c>
      <c r="E15" s="740" t="s">
        <v>16</v>
      </c>
      <c r="F15" s="741" t="s">
        <v>17</v>
      </c>
      <c r="G15" s="742" t="s">
        <v>64</v>
      </c>
      <c r="H15" s="725" t="s">
        <v>94</v>
      </c>
      <c r="I15" s="205" t="s">
        <v>19</v>
      </c>
      <c r="J15" s="117">
        <f>66000/1000</f>
        <v>66</v>
      </c>
      <c r="K15" s="117">
        <f t="shared" ref="K15:L15" si="0">66000/1000</f>
        <v>66</v>
      </c>
      <c r="L15" s="117">
        <f t="shared" si="0"/>
        <v>66</v>
      </c>
    </row>
    <row r="16" spans="1:15" ht="13.5" customHeight="1" thickBot="1" x14ac:dyDescent="0.3">
      <c r="A16" s="754"/>
      <c r="B16" s="696"/>
      <c r="C16" s="738"/>
      <c r="D16" s="739"/>
      <c r="E16" s="740"/>
      <c r="F16" s="741"/>
      <c r="G16" s="742"/>
      <c r="H16" s="725"/>
      <c r="I16" s="118" t="s">
        <v>20</v>
      </c>
      <c r="J16" s="119">
        <f>J15</f>
        <v>66</v>
      </c>
      <c r="K16" s="119">
        <f>SUM(K15:K15)</f>
        <v>66</v>
      </c>
      <c r="L16" s="119">
        <f>SUM(L15:L15)</f>
        <v>66</v>
      </c>
      <c r="O16" s="15"/>
    </row>
    <row r="17" spans="1:15" ht="22.5" customHeight="1" x14ac:dyDescent="0.25">
      <c r="A17" s="753" t="s">
        <v>15</v>
      </c>
      <c r="B17" s="776" t="s">
        <v>15</v>
      </c>
      <c r="C17" s="750" t="s">
        <v>21</v>
      </c>
      <c r="D17" s="752" t="s">
        <v>95</v>
      </c>
      <c r="E17" s="593" t="s">
        <v>16</v>
      </c>
      <c r="F17" s="168" t="s">
        <v>17</v>
      </c>
      <c r="G17" s="12" t="s">
        <v>64</v>
      </c>
      <c r="H17" s="745" t="s">
        <v>18</v>
      </c>
      <c r="I17" s="120" t="s">
        <v>60</v>
      </c>
      <c r="J17" s="204">
        <f>997.9+1.7</f>
        <v>999.6</v>
      </c>
      <c r="K17" s="204">
        <f>997.9+1.7</f>
        <v>999.6</v>
      </c>
      <c r="L17" s="204">
        <f>997.9+1.7</f>
        <v>999.6</v>
      </c>
      <c r="O17" s="15"/>
    </row>
    <row r="18" spans="1:15" ht="24.75" customHeight="1" x14ac:dyDescent="0.25">
      <c r="A18" s="754"/>
      <c r="B18" s="696"/>
      <c r="C18" s="751"/>
      <c r="D18" s="752"/>
      <c r="E18" s="593"/>
      <c r="F18" s="169" t="s">
        <v>27</v>
      </c>
      <c r="G18" s="743" t="s">
        <v>26</v>
      </c>
      <c r="H18" s="745"/>
      <c r="I18" s="121" t="s">
        <v>60</v>
      </c>
      <c r="J18" s="114">
        <f>561.3+3.4</f>
        <v>564.69999999999993</v>
      </c>
      <c r="K18" s="114">
        <f>561.3+3.4</f>
        <v>564.69999999999993</v>
      </c>
      <c r="L18" s="114">
        <f>561.3+3.4</f>
        <v>564.69999999999993</v>
      </c>
    </row>
    <row r="19" spans="1:15" ht="25.5" customHeight="1" x14ac:dyDescent="0.25">
      <c r="A19" s="754"/>
      <c r="B19" s="696"/>
      <c r="C19" s="751"/>
      <c r="D19" s="752"/>
      <c r="E19" s="593"/>
      <c r="F19" s="171" t="s">
        <v>28</v>
      </c>
      <c r="G19" s="743"/>
      <c r="H19" s="745"/>
      <c r="I19" s="121" t="s">
        <v>60</v>
      </c>
      <c r="J19" s="355">
        <f>660.6+1.7</f>
        <v>662.30000000000007</v>
      </c>
      <c r="K19" s="355">
        <f>660.6+1.7</f>
        <v>662.30000000000007</v>
      </c>
      <c r="L19" s="355">
        <f>660.6+1.7</f>
        <v>662.30000000000007</v>
      </c>
    </row>
    <row r="20" spans="1:15" ht="25.5" customHeight="1" x14ac:dyDescent="0.25">
      <c r="A20" s="754"/>
      <c r="B20" s="696"/>
      <c r="C20" s="751"/>
      <c r="D20" s="752"/>
      <c r="E20" s="593"/>
      <c r="F20" s="170" t="s">
        <v>29</v>
      </c>
      <c r="G20" s="743"/>
      <c r="H20" s="745"/>
      <c r="I20" s="121" t="s">
        <v>60</v>
      </c>
      <c r="J20" s="356">
        <f>226.1+1.7</f>
        <v>227.79999999999998</v>
      </c>
      <c r="K20" s="356">
        <f>226.1+1.7</f>
        <v>227.79999999999998</v>
      </c>
      <c r="L20" s="356">
        <f>226.1+1.7</f>
        <v>227.79999999999998</v>
      </c>
    </row>
    <row r="21" spans="1:15" ht="33.75" customHeight="1" x14ac:dyDescent="0.25">
      <c r="A21" s="754"/>
      <c r="B21" s="696"/>
      <c r="C21" s="751"/>
      <c r="D21" s="752"/>
      <c r="E21" s="593"/>
      <c r="F21" s="171" t="s">
        <v>30</v>
      </c>
      <c r="G21" s="743"/>
      <c r="H21" s="745"/>
      <c r="I21" s="121" t="s">
        <v>60</v>
      </c>
      <c r="J21" s="357">
        <f>220.5+5.1</f>
        <v>225.6</v>
      </c>
      <c r="K21" s="357">
        <f>220.5+5.1</f>
        <v>225.6</v>
      </c>
      <c r="L21" s="357">
        <f>220.5+5.1</f>
        <v>225.6</v>
      </c>
    </row>
    <row r="22" spans="1:15" ht="27.75" customHeight="1" x14ac:dyDescent="0.25">
      <c r="A22" s="754"/>
      <c r="B22" s="696"/>
      <c r="C22" s="751"/>
      <c r="D22" s="752"/>
      <c r="E22" s="593"/>
      <c r="F22" s="171" t="s">
        <v>31</v>
      </c>
      <c r="G22" s="743"/>
      <c r="H22" s="745"/>
      <c r="I22" s="121" t="s">
        <v>60</v>
      </c>
      <c r="J22" s="358">
        <f>684+1.9</f>
        <v>685.9</v>
      </c>
      <c r="K22" s="358">
        <f>684+1.9</f>
        <v>685.9</v>
      </c>
      <c r="L22" s="358">
        <f>684+1.9</f>
        <v>685.9</v>
      </c>
    </row>
    <row r="23" spans="1:15" ht="37.5" customHeight="1" x14ac:dyDescent="0.25">
      <c r="A23" s="754"/>
      <c r="B23" s="696"/>
      <c r="C23" s="751"/>
      <c r="D23" s="752"/>
      <c r="E23" s="593"/>
      <c r="F23" s="172" t="s">
        <v>32</v>
      </c>
      <c r="G23" s="743"/>
      <c r="H23" s="745"/>
      <c r="I23" s="121" t="s">
        <v>60</v>
      </c>
      <c r="J23" s="358">
        <f>725.6</f>
        <v>725.6</v>
      </c>
      <c r="K23" s="358">
        <f>725.6</f>
        <v>725.6</v>
      </c>
      <c r="L23" s="358">
        <f>725.6</f>
        <v>725.6</v>
      </c>
    </row>
    <row r="24" spans="1:15" ht="30" customHeight="1" x14ac:dyDescent="0.25">
      <c r="A24" s="754"/>
      <c r="B24" s="696"/>
      <c r="C24" s="751"/>
      <c r="D24" s="752"/>
      <c r="E24" s="593"/>
      <c r="F24" s="171" t="s">
        <v>33</v>
      </c>
      <c r="G24" s="743"/>
      <c r="H24" s="745"/>
      <c r="I24" s="121" t="s">
        <v>60</v>
      </c>
      <c r="J24" s="358">
        <f>1713.7+11.4</f>
        <v>1725.1000000000001</v>
      </c>
      <c r="K24" s="358">
        <f>1713.7+11.4</f>
        <v>1725.1000000000001</v>
      </c>
      <c r="L24" s="358">
        <f>1713.7+11.4</f>
        <v>1725.1000000000001</v>
      </c>
    </row>
    <row r="25" spans="1:15" ht="27.75" customHeight="1" x14ac:dyDescent="0.25">
      <c r="A25" s="754"/>
      <c r="B25" s="696"/>
      <c r="C25" s="751"/>
      <c r="D25" s="752"/>
      <c r="E25" s="593"/>
      <c r="F25" s="169" t="s">
        <v>34</v>
      </c>
      <c r="G25" s="743"/>
      <c r="H25" s="745"/>
      <c r="I25" s="121" t="s">
        <v>60</v>
      </c>
      <c r="J25" s="358">
        <f>1798.4+1.9</f>
        <v>1800.3000000000002</v>
      </c>
      <c r="K25" s="358">
        <f>1798.4+1.9</f>
        <v>1800.3000000000002</v>
      </c>
      <c r="L25" s="358">
        <f>1798.4+1.9</f>
        <v>1800.3000000000002</v>
      </c>
    </row>
    <row r="26" spans="1:15" ht="35.25" customHeight="1" x14ac:dyDescent="0.25">
      <c r="A26" s="754"/>
      <c r="B26" s="696"/>
      <c r="C26" s="751"/>
      <c r="D26" s="752"/>
      <c r="E26" s="593"/>
      <c r="F26" s="169" t="s">
        <v>35</v>
      </c>
      <c r="G26" s="743"/>
      <c r="H26" s="745"/>
      <c r="I26" s="121" t="s">
        <v>60</v>
      </c>
      <c r="J26" s="358">
        <f>2228.2+5.7</f>
        <v>2233.8999999999996</v>
      </c>
      <c r="K26" s="358">
        <f>2228.2+5.7</f>
        <v>2233.8999999999996</v>
      </c>
      <c r="L26" s="358">
        <f>2228.2+5.7</f>
        <v>2233.8999999999996</v>
      </c>
    </row>
    <row r="27" spans="1:15" ht="21.75" customHeight="1" x14ac:dyDescent="0.25">
      <c r="A27" s="754"/>
      <c r="B27" s="696"/>
      <c r="C27" s="751"/>
      <c r="D27" s="752"/>
      <c r="E27" s="593"/>
      <c r="F27" s="169" t="s">
        <v>36</v>
      </c>
      <c r="G27" s="743"/>
      <c r="H27" s="745"/>
      <c r="I27" s="121" t="s">
        <v>60</v>
      </c>
      <c r="J27" s="358">
        <f>871+3.8</f>
        <v>874.8</v>
      </c>
      <c r="K27" s="358">
        <f>871+3.8</f>
        <v>874.8</v>
      </c>
      <c r="L27" s="358">
        <f>871+3.8</f>
        <v>874.8</v>
      </c>
    </row>
    <row r="28" spans="1:15" ht="27.75" customHeight="1" x14ac:dyDescent="0.25">
      <c r="A28" s="754"/>
      <c r="B28" s="696"/>
      <c r="C28" s="751"/>
      <c r="D28" s="752"/>
      <c r="E28" s="593"/>
      <c r="F28" s="171" t="s">
        <v>37</v>
      </c>
      <c r="G28" s="743"/>
      <c r="H28" s="745"/>
      <c r="I28" s="121" t="s">
        <v>60</v>
      </c>
      <c r="J28" s="358">
        <f>3475.3+32</f>
        <v>3507.3</v>
      </c>
      <c r="K28" s="358">
        <f>3475.3+32</f>
        <v>3507.3</v>
      </c>
      <c r="L28" s="358">
        <f>3475.3+32</f>
        <v>3507.3</v>
      </c>
    </row>
    <row r="29" spans="1:15" ht="25.5" customHeight="1" x14ac:dyDescent="0.25">
      <c r="A29" s="754"/>
      <c r="B29" s="696"/>
      <c r="C29" s="751"/>
      <c r="D29" s="752"/>
      <c r="E29" s="593"/>
      <c r="F29" s="173" t="s">
        <v>38</v>
      </c>
      <c r="G29" s="743"/>
      <c r="H29" s="745"/>
      <c r="I29" s="121" t="s">
        <v>60</v>
      </c>
      <c r="J29" s="358">
        <f>886</f>
        <v>886</v>
      </c>
      <c r="K29" s="358">
        <f>886</f>
        <v>886</v>
      </c>
      <c r="L29" s="358">
        <f>886</f>
        <v>886</v>
      </c>
    </row>
    <row r="30" spans="1:15" ht="34.5" customHeight="1" x14ac:dyDescent="0.25">
      <c r="A30" s="754"/>
      <c r="B30" s="696"/>
      <c r="C30" s="751"/>
      <c r="D30" s="752"/>
      <c r="E30" s="593"/>
      <c r="F30" s="174" t="s">
        <v>39</v>
      </c>
      <c r="G30" s="743"/>
      <c r="H30" s="745"/>
      <c r="I30" s="121" t="s">
        <v>60</v>
      </c>
      <c r="J30" s="358">
        <f>778.7</f>
        <v>778.7</v>
      </c>
      <c r="K30" s="358">
        <f>778.7</f>
        <v>778.7</v>
      </c>
      <c r="L30" s="358">
        <f>778.7</f>
        <v>778.7</v>
      </c>
    </row>
    <row r="31" spans="1:15" ht="26.25" customHeight="1" x14ac:dyDescent="0.25">
      <c r="A31" s="754"/>
      <c r="B31" s="696"/>
      <c r="C31" s="751"/>
      <c r="D31" s="752"/>
      <c r="E31" s="593"/>
      <c r="F31" s="175" t="s">
        <v>40</v>
      </c>
      <c r="G31" s="743"/>
      <c r="H31" s="745"/>
      <c r="I31" s="121" t="s">
        <v>60</v>
      </c>
      <c r="J31" s="359">
        <f>1236.1+1.9</f>
        <v>1238</v>
      </c>
      <c r="K31" s="359">
        <f>1236.1+1.9</f>
        <v>1238</v>
      </c>
      <c r="L31" s="359">
        <f>1236.1+1.9</f>
        <v>1238</v>
      </c>
    </row>
    <row r="32" spans="1:15" ht="28.5" customHeight="1" x14ac:dyDescent="0.25">
      <c r="A32" s="754"/>
      <c r="B32" s="696"/>
      <c r="C32" s="751"/>
      <c r="D32" s="752"/>
      <c r="E32" s="593"/>
      <c r="F32" s="175" t="s">
        <v>41</v>
      </c>
      <c r="G32" s="743"/>
      <c r="H32" s="745"/>
      <c r="I32" s="121" t="s">
        <v>60</v>
      </c>
      <c r="J32" s="358">
        <f>889+1.9</f>
        <v>890.9</v>
      </c>
      <c r="K32" s="358">
        <f>889+1.9</f>
        <v>890.9</v>
      </c>
      <c r="L32" s="358">
        <f>889+1.9</f>
        <v>890.9</v>
      </c>
    </row>
    <row r="33" spans="1:12" ht="33" customHeight="1" x14ac:dyDescent="0.25">
      <c r="A33" s="754"/>
      <c r="B33" s="696"/>
      <c r="C33" s="751"/>
      <c r="D33" s="752"/>
      <c r="E33" s="593"/>
      <c r="F33" s="176" t="s">
        <v>42</v>
      </c>
      <c r="G33" s="743"/>
      <c r="H33" s="745"/>
      <c r="I33" s="121" t="s">
        <v>60</v>
      </c>
      <c r="J33" s="358">
        <f>196.7</f>
        <v>196.7</v>
      </c>
      <c r="K33" s="358">
        <f>196.7</f>
        <v>196.7</v>
      </c>
      <c r="L33" s="358">
        <f>196.7</f>
        <v>196.7</v>
      </c>
    </row>
    <row r="34" spans="1:12" ht="22.5" customHeight="1" x14ac:dyDescent="0.25">
      <c r="A34" s="754"/>
      <c r="B34" s="696"/>
      <c r="C34" s="751"/>
      <c r="D34" s="752"/>
      <c r="E34" s="593"/>
      <c r="F34" s="176" t="s">
        <v>43</v>
      </c>
      <c r="G34" s="743"/>
      <c r="H34" s="745"/>
      <c r="I34" s="121" t="s">
        <v>60</v>
      </c>
      <c r="J34" s="358">
        <f>44.2</f>
        <v>44.2</v>
      </c>
      <c r="K34" s="358">
        <f>44.2</f>
        <v>44.2</v>
      </c>
      <c r="L34" s="358">
        <f>44.2</f>
        <v>44.2</v>
      </c>
    </row>
    <row r="35" spans="1:12" ht="22.5" customHeight="1" thickBot="1" x14ac:dyDescent="0.3">
      <c r="A35" s="754"/>
      <c r="B35" s="696"/>
      <c r="C35" s="751"/>
      <c r="D35" s="752"/>
      <c r="E35" s="593"/>
      <c r="F35" s="746" t="s">
        <v>45</v>
      </c>
      <c r="G35" s="743"/>
      <c r="H35" s="745"/>
      <c r="I35" s="121" t="s">
        <v>60</v>
      </c>
      <c r="J35" s="112">
        <f>61</f>
        <v>61</v>
      </c>
      <c r="K35" s="112">
        <f>61</f>
        <v>61</v>
      </c>
      <c r="L35" s="112">
        <f>61</f>
        <v>61</v>
      </c>
    </row>
    <row r="36" spans="1:12" ht="23.25" customHeight="1" thickBot="1" x14ac:dyDescent="0.3">
      <c r="A36" s="754"/>
      <c r="B36" s="696"/>
      <c r="C36" s="751"/>
      <c r="D36" s="752"/>
      <c r="E36" s="593"/>
      <c r="F36" s="746"/>
      <c r="G36" s="744"/>
      <c r="H36" s="745"/>
      <c r="I36" s="122" t="s">
        <v>20</v>
      </c>
      <c r="J36" s="123">
        <f>SUM(J17:J35)</f>
        <v>18328.400000000001</v>
      </c>
      <c r="K36" s="123">
        <f t="shared" ref="K36:L36" si="1">SUM(K17:K35)</f>
        <v>18328.400000000001</v>
      </c>
      <c r="L36" s="124">
        <f t="shared" si="1"/>
        <v>18328.400000000001</v>
      </c>
    </row>
    <row r="37" spans="1:12" ht="32.25" customHeight="1" thickBot="1" x14ac:dyDescent="0.3">
      <c r="A37" s="455" t="s">
        <v>15</v>
      </c>
      <c r="B37" s="457" t="s">
        <v>15</v>
      </c>
      <c r="C37" s="700" t="s">
        <v>22</v>
      </c>
      <c r="D37" s="512" t="s">
        <v>96</v>
      </c>
      <c r="E37" s="499" t="s">
        <v>16</v>
      </c>
      <c r="F37" s="196" t="s">
        <v>41</v>
      </c>
      <c r="G37" s="575" t="s">
        <v>26</v>
      </c>
      <c r="H37" s="563" t="s">
        <v>18</v>
      </c>
      <c r="I37" s="197" t="s">
        <v>60</v>
      </c>
      <c r="J37" s="163">
        <f>435.6+62.356</f>
        <v>497.95600000000002</v>
      </c>
      <c r="K37" s="163">
        <f t="shared" ref="K37:L37" si="2">435.6</f>
        <v>435.6</v>
      </c>
      <c r="L37" s="424">
        <f t="shared" si="2"/>
        <v>435.6</v>
      </c>
    </row>
    <row r="38" spans="1:12" ht="30.75" customHeight="1" thickBot="1" x14ac:dyDescent="0.3">
      <c r="A38" s="455"/>
      <c r="B38" s="457"/>
      <c r="C38" s="700"/>
      <c r="D38" s="538"/>
      <c r="E38" s="499"/>
      <c r="F38" s="487" t="s">
        <v>40</v>
      </c>
      <c r="G38" s="576"/>
      <c r="H38" s="564"/>
      <c r="I38" s="360" t="s">
        <v>60</v>
      </c>
      <c r="J38" s="361">
        <f>30.3</f>
        <v>30.3</v>
      </c>
      <c r="K38" s="361">
        <f t="shared" ref="K38:L38" si="3">30.3</f>
        <v>30.3</v>
      </c>
      <c r="L38" s="425">
        <f t="shared" si="3"/>
        <v>30.3</v>
      </c>
    </row>
    <row r="39" spans="1:12" ht="30.75" customHeight="1" thickBot="1" x14ac:dyDescent="0.3">
      <c r="A39" s="529"/>
      <c r="B39" s="597"/>
      <c r="C39" s="701"/>
      <c r="D39" s="708"/>
      <c r="E39" s="574"/>
      <c r="F39" s="699"/>
      <c r="G39" s="577"/>
      <c r="H39" s="565"/>
      <c r="I39" s="122" t="s">
        <v>20</v>
      </c>
      <c r="J39" s="127">
        <f>SUM(J37:J38)</f>
        <v>528.25599999999997</v>
      </c>
      <c r="K39" s="128">
        <f t="shared" ref="K39:L39" si="4">SUM(K37:K38)</f>
        <v>465.90000000000003</v>
      </c>
      <c r="L39" s="323">
        <f t="shared" si="4"/>
        <v>465.90000000000003</v>
      </c>
    </row>
    <row r="40" spans="1:12" ht="29.25" customHeight="1" x14ac:dyDescent="0.25">
      <c r="A40" s="455" t="s">
        <v>15</v>
      </c>
      <c r="B40" s="457" t="s">
        <v>15</v>
      </c>
      <c r="C40" s="543" t="s">
        <v>24</v>
      </c>
      <c r="D40" s="512" t="s">
        <v>97</v>
      </c>
      <c r="E40" s="705" t="s">
        <v>16</v>
      </c>
      <c r="F40" s="198" t="s">
        <v>17</v>
      </c>
      <c r="G40" s="580" t="s">
        <v>26</v>
      </c>
      <c r="H40" s="490" t="s">
        <v>18</v>
      </c>
      <c r="I40" s="164" t="s">
        <v>60</v>
      </c>
      <c r="J40" s="102">
        <v>0</v>
      </c>
      <c r="K40" s="401">
        <v>0</v>
      </c>
      <c r="L40" s="401">
        <v>0</v>
      </c>
    </row>
    <row r="41" spans="1:12" ht="34.5" customHeight="1" x14ac:dyDescent="0.25">
      <c r="A41" s="456"/>
      <c r="B41" s="458"/>
      <c r="C41" s="568"/>
      <c r="D41" s="513"/>
      <c r="E41" s="578"/>
      <c r="F41" s="362" t="s">
        <v>28</v>
      </c>
      <c r="G41" s="581"/>
      <c r="H41" s="491"/>
      <c r="I41" s="222" t="s">
        <v>60</v>
      </c>
      <c r="J41" s="294">
        <v>0</v>
      </c>
      <c r="K41" s="402">
        <v>0</v>
      </c>
      <c r="L41" s="402">
        <v>0</v>
      </c>
    </row>
    <row r="42" spans="1:12" ht="36" customHeight="1" x14ac:dyDescent="0.25">
      <c r="A42" s="456"/>
      <c r="B42" s="458"/>
      <c r="C42" s="568"/>
      <c r="D42" s="513"/>
      <c r="E42" s="578"/>
      <c r="F42" s="363" t="s">
        <v>31</v>
      </c>
      <c r="G42" s="581"/>
      <c r="H42" s="491"/>
      <c r="I42" s="222" t="s">
        <v>60</v>
      </c>
      <c r="J42" s="294">
        <v>0</v>
      </c>
      <c r="K42" s="402">
        <v>0</v>
      </c>
      <c r="L42" s="402">
        <v>0</v>
      </c>
    </row>
    <row r="43" spans="1:12" ht="29.25" customHeight="1" x14ac:dyDescent="0.25">
      <c r="A43" s="456"/>
      <c r="B43" s="458"/>
      <c r="C43" s="568"/>
      <c r="D43" s="513"/>
      <c r="E43" s="578"/>
      <c r="F43" s="267" t="s">
        <v>34</v>
      </c>
      <c r="G43" s="581"/>
      <c r="H43" s="491"/>
      <c r="I43" s="222" t="s">
        <v>60</v>
      </c>
      <c r="J43" s="294">
        <v>0</v>
      </c>
      <c r="K43" s="402">
        <v>0</v>
      </c>
      <c r="L43" s="402">
        <v>0</v>
      </c>
    </row>
    <row r="44" spans="1:12" ht="38.25" customHeight="1" x14ac:dyDescent="0.25">
      <c r="A44" s="456"/>
      <c r="B44" s="458"/>
      <c r="C44" s="568"/>
      <c r="D44" s="513"/>
      <c r="E44" s="578"/>
      <c r="F44" s="363" t="s">
        <v>35</v>
      </c>
      <c r="G44" s="581"/>
      <c r="H44" s="491"/>
      <c r="I44" s="222" t="s">
        <v>60</v>
      </c>
      <c r="J44" s="294">
        <v>0</v>
      </c>
      <c r="K44" s="402">
        <v>0</v>
      </c>
      <c r="L44" s="402">
        <v>0</v>
      </c>
    </row>
    <row r="45" spans="1:12" ht="38.25" customHeight="1" x14ac:dyDescent="0.25">
      <c r="A45" s="456"/>
      <c r="B45" s="458"/>
      <c r="C45" s="568"/>
      <c r="D45" s="513"/>
      <c r="E45" s="578"/>
      <c r="F45" s="363" t="s">
        <v>37</v>
      </c>
      <c r="G45" s="581"/>
      <c r="H45" s="491"/>
      <c r="I45" s="222" t="s">
        <v>60</v>
      </c>
      <c r="J45" s="294">
        <v>0</v>
      </c>
      <c r="K45" s="402">
        <v>0</v>
      </c>
      <c r="L45" s="402">
        <v>0</v>
      </c>
    </row>
    <row r="46" spans="1:12" ht="29.25" customHeight="1" x14ac:dyDescent="0.25">
      <c r="A46" s="456"/>
      <c r="B46" s="458"/>
      <c r="C46" s="568"/>
      <c r="D46" s="513"/>
      <c r="E46" s="578"/>
      <c r="F46" s="363" t="s">
        <v>33</v>
      </c>
      <c r="G46" s="581"/>
      <c r="H46" s="491"/>
      <c r="I46" s="222" t="s">
        <v>60</v>
      </c>
      <c r="J46" s="294">
        <v>0</v>
      </c>
      <c r="K46" s="402">
        <v>0</v>
      </c>
      <c r="L46" s="402">
        <v>0</v>
      </c>
    </row>
    <row r="47" spans="1:12" ht="29.25" customHeight="1" x14ac:dyDescent="0.25">
      <c r="A47" s="456"/>
      <c r="B47" s="458"/>
      <c r="C47" s="568"/>
      <c r="D47" s="513"/>
      <c r="E47" s="578"/>
      <c r="F47" s="307" t="s">
        <v>38</v>
      </c>
      <c r="G47" s="582"/>
      <c r="H47" s="492"/>
      <c r="I47" s="222" t="s">
        <v>60</v>
      </c>
      <c r="J47" s="98">
        <v>0</v>
      </c>
      <c r="K47" s="403">
        <v>0</v>
      </c>
      <c r="L47" s="403">
        <v>0</v>
      </c>
    </row>
    <row r="48" spans="1:12" ht="19.5" customHeight="1" thickBot="1" x14ac:dyDescent="0.3">
      <c r="A48" s="456"/>
      <c r="B48" s="458"/>
      <c r="C48" s="568"/>
      <c r="D48" s="513"/>
      <c r="E48" s="578"/>
      <c r="F48" s="547" t="s">
        <v>30</v>
      </c>
      <c r="G48" s="582"/>
      <c r="H48" s="492"/>
      <c r="I48" s="129" t="s">
        <v>60</v>
      </c>
      <c r="J48" s="98">
        <v>0</v>
      </c>
      <c r="K48" s="404">
        <v>0</v>
      </c>
      <c r="L48" s="404">
        <v>0</v>
      </c>
    </row>
    <row r="49" spans="1:12" ht="18" customHeight="1" thickBot="1" x14ac:dyDescent="0.3">
      <c r="A49" s="529"/>
      <c r="B49" s="597"/>
      <c r="C49" s="704"/>
      <c r="D49" s="514"/>
      <c r="E49" s="706"/>
      <c r="F49" s="449"/>
      <c r="G49" s="583"/>
      <c r="H49" s="493"/>
      <c r="I49" s="275" t="s">
        <v>20</v>
      </c>
      <c r="J49" s="261">
        <f>SUM(J40:J48)</f>
        <v>0</v>
      </c>
      <c r="K49" s="295">
        <f>SUM(K40:K40)</f>
        <v>0</v>
      </c>
      <c r="L49" s="296">
        <f>SUM(L40:L40)</f>
        <v>0</v>
      </c>
    </row>
    <row r="50" spans="1:12" ht="20.25" customHeight="1" x14ac:dyDescent="0.25">
      <c r="A50" s="456" t="s">
        <v>15</v>
      </c>
      <c r="B50" s="458" t="s">
        <v>15</v>
      </c>
      <c r="C50" s="568" t="s">
        <v>25</v>
      </c>
      <c r="D50" s="702" t="s">
        <v>98</v>
      </c>
      <c r="E50" s="578" t="s">
        <v>16</v>
      </c>
      <c r="F50" s="707" t="s">
        <v>27</v>
      </c>
      <c r="G50" s="709" t="s">
        <v>26</v>
      </c>
      <c r="H50" s="494" t="s">
        <v>18</v>
      </c>
      <c r="I50" s="99" t="s">
        <v>19</v>
      </c>
      <c r="J50" s="334">
        <f>251908/1000</f>
        <v>251.90799999999999</v>
      </c>
      <c r="K50" s="334">
        <f>251908/1000</f>
        <v>251.90799999999999</v>
      </c>
      <c r="L50" s="334">
        <f>251908/1000</f>
        <v>251.90799999999999</v>
      </c>
    </row>
    <row r="51" spans="1:12" ht="15" customHeight="1" thickBot="1" x14ac:dyDescent="0.3">
      <c r="A51" s="455"/>
      <c r="B51" s="457"/>
      <c r="C51" s="543"/>
      <c r="D51" s="703"/>
      <c r="E51" s="578"/>
      <c r="F51" s="546"/>
      <c r="G51" s="710"/>
      <c r="H51" s="495"/>
      <c r="I51" s="187" t="s">
        <v>60</v>
      </c>
      <c r="J51" s="335">
        <f>37.403</f>
        <v>37.402999999999999</v>
      </c>
      <c r="K51" s="335">
        <f>37.403</f>
        <v>37.402999999999999</v>
      </c>
      <c r="L51" s="335">
        <f>37.403</f>
        <v>37.402999999999999</v>
      </c>
    </row>
    <row r="52" spans="1:12" ht="15.75" customHeight="1" thickBot="1" x14ac:dyDescent="0.3">
      <c r="A52" s="455"/>
      <c r="B52" s="457"/>
      <c r="C52" s="543"/>
      <c r="D52" s="703"/>
      <c r="E52" s="579"/>
      <c r="F52" s="545" t="s">
        <v>28</v>
      </c>
      <c r="G52" s="710"/>
      <c r="H52" s="496"/>
      <c r="I52" s="167" t="s">
        <v>19</v>
      </c>
      <c r="J52" s="336">
        <f>262499/1000</f>
        <v>262.49900000000002</v>
      </c>
      <c r="K52" s="336">
        <f t="shared" ref="K52:L52" si="5">262499/1000</f>
        <v>262.49900000000002</v>
      </c>
      <c r="L52" s="336">
        <f t="shared" si="5"/>
        <v>262.49900000000002</v>
      </c>
    </row>
    <row r="53" spans="1:12" ht="15" customHeight="1" thickBot="1" x14ac:dyDescent="0.3">
      <c r="A53" s="455"/>
      <c r="B53" s="457"/>
      <c r="C53" s="543"/>
      <c r="D53" s="703"/>
      <c r="E53" s="579"/>
      <c r="F53" s="546"/>
      <c r="G53" s="710"/>
      <c r="H53" s="496"/>
      <c r="I53" s="189" t="s">
        <v>60</v>
      </c>
      <c r="J53" s="337">
        <f>37.813</f>
        <v>37.813000000000002</v>
      </c>
      <c r="K53" s="337">
        <f t="shared" ref="K53:L53" si="6">37.813</f>
        <v>37.813000000000002</v>
      </c>
      <c r="L53" s="337">
        <f t="shared" si="6"/>
        <v>37.813000000000002</v>
      </c>
    </row>
    <row r="54" spans="1:12" ht="16.5" customHeight="1" thickBot="1" x14ac:dyDescent="0.3">
      <c r="A54" s="455"/>
      <c r="B54" s="457"/>
      <c r="C54" s="543"/>
      <c r="D54" s="703"/>
      <c r="E54" s="579"/>
      <c r="F54" s="545" t="s">
        <v>29</v>
      </c>
      <c r="G54" s="710"/>
      <c r="H54" s="496"/>
      <c r="I54" s="167" t="s">
        <v>19</v>
      </c>
      <c r="J54" s="336">
        <f>101222/1000</f>
        <v>101.22199999999999</v>
      </c>
      <c r="K54" s="336">
        <f t="shared" ref="K54:L54" si="7">101222/1000</f>
        <v>101.22199999999999</v>
      </c>
      <c r="L54" s="336">
        <f t="shared" si="7"/>
        <v>101.22199999999999</v>
      </c>
    </row>
    <row r="55" spans="1:12" ht="17.25" customHeight="1" thickBot="1" x14ac:dyDescent="0.3">
      <c r="A55" s="455"/>
      <c r="B55" s="457"/>
      <c r="C55" s="543"/>
      <c r="D55" s="703"/>
      <c r="E55" s="579"/>
      <c r="F55" s="546"/>
      <c r="G55" s="710"/>
      <c r="H55" s="496"/>
      <c r="I55" s="189" t="s">
        <v>60</v>
      </c>
      <c r="J55" s="337">
        <f>17.47</f>
        <v>17.47</v>
      </c>
      <c r="K55" s="337">
        <f t="shared" ref="K55:L55" si="8">17.47</f>
        <v>17.47</v>
      </c>
      <c r="L55" s="337">
        <f t="shared" si="8"/>
        <v>17.47</v>
      </c>
    </row>
    <row r="56" spans="1:12" ht="18" customHeight="1" thickBot="1" x14ac:dyDescent="0.3">
      <c r="A56" s="455"/>
      <c r="B56" s="457"/>
      <c r="C56" s="543"/>
      <c r="D56" s="703"/>
      <c r="E56" s="579"/>
      <c r="F56" s="545" t="s">
        <v>30</v>
      </c>
      <c r="G56" s="710"/>
      <c r="H56" s="496"/>
      <c r="I56" s="191" t="s">
        <v>19</v>
      </c>
      <c r="J56" s="338">
        <f>80713/1000</f>
        <v>80.712999999999994</v>
      </c>
      <c r="K56" s="338">
        <f t="shared" ref="K56:L56" si="9">80713/1000</f>
        <v>80.712999999999994</v>
      </c>
      <c r="L56" s="338">
        <f t="shared" si="9"/>
        <v>80.712999999999994</v>
      </c>
    </row>
    <row r="57" spans="1:12" ht="21.75" customHeight="1" x14ac:dyDescent="0.25">
      <c r="A57" s="455"/>
      <c r="B57" s="457"/>
      <c r="C57" s="543"/>
      <c r="D57" s="703"/>
      <c r="E57" s="579"/>
      <c r="F57" s="546"/>
      <c r="G57" s="710"/>
      <c r="H57" s="496"/>
      <c r="I57" s="105" t="s">
        <v>60</v>
      </c>
      <c r="J57" s="339">
        <f>15.528</f>
        <v>15.528</v>
      </c>
      <c r="K57" s="339">
        <f>15.528</f>
        <v>15.528</v>
      </c>
      <c r="L57" s="339">
        <f>15.528</f>
        <v>15.528</v>
      </c>
    </row>
    <row r="58" spans="1:12" ht="21.75" customHeight="1" x14ac:dyDescent="0.25">
      <c r="A58" s="455"/>
      <c r="B58" s="457"/>
      <c r="C58" s="543"/>
      <c r="D58" s="703"/>
      <c r="E58" s="579"/>
      <c r="F58" s="447" t="s">
        <v>31</v>
      </c>
      <c r="G58" s="710"/>
      <c r="H58" s="497"/>
      <c r="I58" s="164" t="s">
        <v>19</v>
      </c>
      <c r="J58" s="340">
        <f>113981/1000</f>
        <v>113.98099999999999</v>
      </c>
      <c r="K58" s="340">
        <f>113981/1000</f>
        <v>113.98099999999999</v>
      </c>
      <c r="L58" s="408">
        <f>113981/1000</f>
        <v>113.98099999999999</v>
      </c>
    </row>
    <row r="59" spans="1:12" ht="22.5" customHeight="1" x14ac:dyDescent="0.25">
      <c r="A59" s="455"/>
      <c r="B59" s="457"/>
      <c r="C59" s="543"/>
      <c r="D59" s="703"/>
      <c r="E59" s="579"/>
      <c r="F59" s="449"/>
      <c r="G59" s="710"/>
      <c r="H59" s="497"/>
      <c r="I59" s="247" t="s">
        <v>60</v>
      </c>
      <c r="J59" s="341">
        <f>22.248</f>
        <v>22.248000000000001</v>
      </c>
      <c r="K59" s="341">
        <f>22.248</f>
        <v>22.248000000000001</v>
      </c>
      <c r="L59" s="409">
        <f>22.248</f>
        <v>22.248000000000001</v>
      </c>
    </row>
    <row r="60" spans="1:12" ht="21.75" customHeight="1" x14ac:dyDescent="0.25">
      <c r="A60" s="455"/>
      <c r="B60" s="457"/>
      <c r="C60" s="543"/>
      <c r="D60" s="703"/>
      <c r="E60" s="579"/>
      <c r="F60" s="545" t="s">
        <v>32</v>
      </c>
      <c r="G60" s="710"/>
      <c r="H60" s="496"/>
      <c r="I60" s="210" t="s">
        <v>19</v>
      </c>
      <c r="J60" s="334">
        <f>196332/1000</f>
        <v>196.33199999999999</v>
      </c>
      <c r="K60" s="405">
        <f>196332/1000</f>
        <v>196.33199999999999</v>
      </c>
      <c r="L60" s="334">
        <f>196332/1000</f>
        <v>196.33199999999999</v>
      </c>
    </row>
    <row r="61" spans="1:12" ht="18" customHeight="1" thickBot="1" x14ac:dyDescent="0.3">
      <c r="A61" s="455"/>
      <c r="B61" s="457"/>
      <c r="C61" s="543"/>
      <c r="D61" s="703"/>
      <c r="E61" s="579"/>
      <c r="F61" s="546"/>
      <c r="G61" s="710"/>
      <c r="H61" s="496"/>
      <c r="I61" s="364" t="s">
        <v>60</v>
      </c>
      <c r="J61" s="365">
        <f>34.901</f>
        <v>34.901000000000003</v>
      </c>
      <c r="K61" s="406">
        <f>34.901</f>
        <v>34.901000000000003</v>
      </c>
      <c r="L61" s="410">
        <f>34.901</f>
        <v>34.901000000000003</v>
      </c>
    </row>
    <row r="62" spans="1:12" ht="24" customHeight="1" x14ac:dyDescent="0.25">
      <c r="A62" s="455"/>
      <c r="B62" s="457"/>
      <c r="C62" s="543"/>
      <c r="D62" s="703"/>
      <c r="E62" s="579"/>
      <c r="F62" s="177" t="s">
        <v>33</v>
      </c>
      <c r="G62" s="711"/>
      <c r="H62" s="496"/>
      <c r="I62" s="190" t="s">
        <v>19</v>
      </c>
      <c r="J62" s="334">
        <v>0</v>
      </c>
      <c r="K62" s="405">
        <v>0</v>
      </c>
      <c r="L62" s="334">
        <v>0</v>
      </c>
    </row>
    <row r="63" spans="1:12" ht="24.75" customHeight="1" x14ac:dyDescent="0.25">
      <c r="A63" s="455"/>
      <c r="B63" s="457"/>
      <c r="C63" s="543"/>
      <c r="D63" s="703"/>
      <c r="E63" s="579"/>
      <c r="F63" s="64" t="s">
        <v>34</v>
      </c>
      <c r="G63" s="711"/>
      <c r="H63" s="496"/>
      <c r="I63" s="345" t="s">
        <v>19</v>
      </c>
      <c r="J63" s="367">
        <v>0</v>
      </c>
      <c r="K63" s="407">
        <v>0</v>
      </c>
      <c r="L63" s="411">
        <v>0</v>
      </c>
    </row>
    <row r="64" spans="1:12" ht="19.5" customHeight="1" thickBot="1" x14ac:dyDescent="0.3">
      <c r="A64" s="455"/>
      <c r="B64" s="457"/>
      <c r="C64" s="543"/>
      <c r="D64" s="703"/>
      <c r="E64" s="579"/>
      <c r="F64" s="447" t="s">
        <v>35</v>
      </c>
      <c r="G64" s="710"/>
      <c r="H64" s="497"/>
      <c r="I64" s="248" t="s">
        <v>19</v>
      </c>
      <c r="J64" s="342">
        <f>45850/1000</f>
        <v>45.85</v>
      </c>
      <c r="K64" s="342">
        <f>45850/1000</f>
        <v>45.85</v>
      </c>
      <c r="L64" s="412">
        <f>45850/1000</f>
        <v>45.85</v>
      </c>
    </row>
    <row r="65" spans="1:12" ht="21.75" customHeight="1" thickBot="1" x14ac:dyDescent="0.3">
      <c r="A65" s="455"/>
      <c r="B65" s="457"/>
      <c r="C65" s="543"/>
      <c r="D65" s="703"/>
      <c r="E65" s="579"/>
      <c r="F65" s="449"/>
      <c r="G65" s="710"/>
      <c r="H65" s="497"/>
      <c r="I65" s="249" t="s">
        <v>60</v>
      </c>
      <c r="J65" s="343">
        <f>5.749</f>
        <v>5.7489999999999997</v>
      </c>
      <c r="K65" s="343">
        <f>5.749</f>
        <v>5.7489999999999997</v>
      </c>
      <c r="L65" s="410">
        <f>5.749</f>
        <v>5.7489999999999997</v>
      </c>
    </row>
    <row r="66" spans="1:12" ht="21" customHeight="1" thickBot="1" x14ac:dyDescent="0.3">
      <c r="A66" s="455"/>
      <c r="B66" s="457"/>
      <c r="C66" s="543"/>
      <c r="D66" s="703"/>
      <c r="E66" s="579"/>
      <c r="F66" s="545" t="s">
        <v>99</v>
      </c>
      <c r="G66" s="710"/>
      <c r="H66" s="496"/>
      <c r="I66" s="210" t="s">
        <v>19</v>
      </c>
      <c r="J66" s="334">
        <f>55731/1000</f>
        <v>55.731000000000002</v>
      </c>
      <c r="K66" s="334">
        <f>55731/1000</f>
        <v>55.731000000000002</v>
      </c>
      <c r="L66" s="334">
        <f>55731/1000</f>
        <v>55.731000000000002</v>
      </c>
    </row>
    <row r="67" spans="1:12" ht="15.75" customHeight="1" thickBot="1" x14ac:dyDescent="0.3">
      <c r="A67" s="455"/>
      <c r="B67" s="457"/>
      <c r="C67" s="543"/>
      <c r="D67" s="703"/>
      <c r="E67" s="579"/>
      <c r="F67" s="546"/>
      <c r="G67" s="710"/>
      <c r="H67" s="496"/>
      <c r="I67" s="364" t="s">
        <v>60</v>
      </c>
      <c r="J67" s="365">
        <f>9.258</f>
        <v>9.2579999999999991</v>
      </c>
      <c r="K67" s="365">
        <f>9.258</f>
        <v>9.2579999999999991</v>
      </c>
      <c r="L67" s="365">
        <f>9.258</f>
        <v>9.2579999999999991</v>
      </c>
    </row>
    <row r="68" spans="1:12" ht="23.25" customHeight="1" thickBot="1" x14ac:dyDescent="0.3">
      <c r="A68" s="455"/>
      <c r="B68" s="457"/>
      <c r="C68" s="543"/>
      <c r="D68" s="703"/>
      <c r="E68" s="579"/>
      <c r="F68" s="447" t="s">
        <v>37</v>
      </c>
      <c r="G68" s="710"/>
      <c r="H68" s="496"/>
      <c r="I68" s="191" t="s">
        <v>19</v>
      </c>
      <c r="J68" s="338">
        <f>112560/1000</f>
        <v>112.56</v>
      </c>
      <c r="K68" s="338">
        <f>112560/1000</f>
        <v>112.56</v>
      </c>
      <c r="L68" s="338">
        <f>112560/1000</f>
        <v>112.56</v>
      </c>
    </row>
    <row r="69" spans="1:12" ht="22.5" customHeight="1" thickBot="1" x14ac:dyDescent="0.3">
      <c r="A69" s="455"/>
      <c r="B69" s="457"/>
      <c r="C69" s="543"/>
      <c r="D69" s="703"/>
      <c r="E69" s="579"/>
      <c r="F69" s="449"/>
      <c r="G69" s="710"/>
      <c r="H69" s="496"/>
      <c r="I69" s="209" t="s">
        <v>60</v>
      </c>
      <c r="J69" s="344">
        <f>10.526</f>
        <v>10.526</v>
      </c>
      <c r="K69" s="344">
        <f>10.526</f>
        <v>10.526</v>
      </c>
      <c r="L69" s="344">
        <f>10.526</f>
        <v>10.526</v>
      </c>
    </row>
    <row r="70" spans="1:12" ht="26.25" customHeight="1" thickBot="1" x14ac:dyDescent="0.3">
      <c r="A70" s="455"/>
      <c r="B70" s="457"/>
      <c r="C70" s="543"/>
      <c r="D70" s="703"/>
      <c r="E70" s="579"/>
      <c r="F70" s="712" t="s">
        <v>38</v>
      </c>
      <c r="G70" s="711"/>
      <c r="H70" s="496"/>
      <c r="I70" s="190" t="s">
        <v>19</v>
      </c>
      <c r="J70" s="334">
        <f>(119540+592)/1000</f>
        <v>120.13200000000001</v>
      </c>
      <c r="K70" s="334">
        <f>(119540+592)/1000</f>
        <v>120.13200000000001</v>
      </c>
      <c r="L70" s="334">
        <f>(119540+592)/1000</f>
        <v>120.13200000000001</v>
      </c>
    </row>
    <row r="71" spans="1:12" ht="25.5" customHeight="1" thickBot="1" x14ac:dyDescent="0.3">
      <c r="A71" s="455"/>
      <c r="B71" s="457"/>
      <c r="C71" s="543"/>
      <c r="D71" s="703"/>
      <c r="E71" s="579"/>
      <c r="F71" s="713"/>
      <c r="G71" s="711"/>
      <c r="H71" s="496"/>
      <c r="I71" s="214" t="s">
        <v>60</v>
      </c>
      <c r="J71" s="339">
        <f>14.633</f>
        <v>14.632999999999999</v>
      </c>
      <c r="K71" s="339">
        <f>14.633</f>
        <v>14.632999999999999</v>
      </c>
      <c r="L71" s="339">
        <f>14.633</f>
        <v>14.632999999999999</v>
      </c>
    </row>
    <row r="72" spans="1:12" ht="20.25" customHeight="1" x14ac:dyDescent="0.25">
      <c r="A72" s="455"/>
      <c r="B72" s="457"/>
      <c r="C72" s="543"/>
      <c r="D72" s="703"/>
      <c r="E72" s="579"/>
      <c r="F72" s="447" t="s">
        <v>39</v>
      </c>
      <c r="G72" s="710"/>
      <c r="H72" s="496"/>
      <c r="I72" s="191" t="s">
        <v>19</v>
      </c>
      <c r="J72" s="338">
        <f>19723/1000</f>
        <v>19.722999999999999</v>
      </c>
      <c r="K72" s="338">
        <f>19723/1000</f>
        <v>19.722999999999999</v>
      </c>
      <c r="L72" s="338">
        <f>19723/1000</f>
        <v>19.722999999999999</v>
      </c>
    </row>
    <row r="73" spans="1:12" ht="18" customHeight="1" thickBot="1" x14ac:dyDescent="0.3">
      <c r="A73" s="455"/>
      <c r="B73" s="457"/>
      <c r="C73" s="543"/>
      <c r="D73" s="703"/>
      <c r="E73" s="579"/>
      <c r="F73" s="449"/>
      <c r="G73" s="710"/>
      <c r="H73" s="496"/>
      <c r="I73" s="364" t="s">
        <v>60</v>
      </c>
      <c r="J73" s="367">
        <f>2.688</f>
        <v>2.6880000000000002</v>
      </c>
      <c r="K73" s="367">
        <f>2.688</f>
        <v>2.6880000000000002</v>
      </c>
      <c r="L73" s="367">
        <f>2.688</f>
        <v>2.6880000000000002</v>
      </c>
    </row>
    <row r="74" spans="1:12" ht="21.75" customHeight="1" x14ac:dyDescent="0.25">
      <c r="A74" s="455"/>
      <c r="B74" s="457"/>
      <c r="C74" s="543"/>
      <c r="D74" s="703"/>
      <c r="E74" s="579"/>
      <c r="F74" s="447" t="s">
        <v>40</v>
      </c>
      <c r="G74" s="710"/>
      <c r="H74" s="497"/>
      <c r="I74" s="191" t="s">
        <v>19</v>
      </c>
      <c r="J74" s="338">
        <v>0</v>
      </c>
      <c r="K74" s="338">
        <v>0</v>
      </c>
      <c r="L74" s="338">
        <v>0</v>
      </c>
    </row>
    <row r="75" spans="1:12" ht="17.25" customHeight="1" x14ac:dyDescent="0.25">
      <c r="A75" s="455"/>
      <c r="B75" s="457"/>
      <c r="C75" s="543"/>
      <c r="D75" s="703"/>
      <c r="E75" s="579"/>
      <c r="F75" s="448"/>
      <c r="G75" s="710"/>
      <c r="H75" s="497"/>
      <c r="I75" s="368" t="s">
        <v>44</v>
      </c>
      <c r="J75" s="367">
        <f>3</f>
        <v>3</v>
      </c>
      <c r="K75" s="367">
        <f>3</f>
        <v>3</v>
      </c>
      <c r="L75" s="367">
        <f>3</f>
        <v>3</v>
      </c>
    </row>
    <row r="76" spans="1:12" ht="17.25" customHeight="1" x14ac:dyDescent="0.25">
      <c r="A76" s="455"/>
      <c r="B76" s="457"/>
      <c r="C76" s="543"/>
      <c r="D76" s="703"/>
      <c r="E76" s="579"/>
      <c r="F76" s="449"/>
      <c r="G76" s="710"/>
      <c r="H76" s="497"/>
      <c r="I76" s="364" t="s">
        <v>23</v>
      </c>
      <c r="J76" s="366">
        <v>1.022</v>
      </c>
      <c r="K76" s="366">
        <f>1</f>
        <v>1</v>
      </c>
      <c r="L76" s="366">
        <f>1</f>
        <v>1</v>
      </c>
    </row>
    <row r="77" spans="1:12" ht="14.25" customHeight="1" thickBot="1" x14ac:dyDescent="0.3">
      <c r="A77" s="455"/>
      <c r="B77" s="457"/>
      <c r="C77" s="543"/>
      <c r="D77" s="703"/>
      <c r="E77" s="579"/>
      <c r="F77" s="566" t="s">
        <v>41</v>
      </c>
      <c r="G77" s="711"/>
      <c r="H77" s="497"/>
      <c r="I77" s="210" t="s">
        <v>19</v>
      </c>
      <c r="J77" s="100">
        <f>24207/1000</f>
        <v>24.207000000000001</v>
      </c>
      <c r="K77" s="100">
        <f>24207/1000</f>
        <v>24.207000000000001</v>
      </c>
      <c r="L77" s="100">
        <f>24207/1000</f>
        <v>24.207000000000001</v>
      </c>
    </row>
    <row r="78" spans="1:12" ht="14.25" customHeight="1" thickBot="1" x14ac:dyDescent="0.3">
      <c r="A78" s="455"/>
      <c r="B78" s="457"/>
      <c r="C78" s="543"/>
      <c r="D78" s="703"/>
      <c r="E78" s="579"/>
      <c r="F78" s="567"/>
      <c r="G78" s="711"/>
      <c r="H78" s="497"/>
      <c r="I78" s="353" t="s">
        <v>60</v>
      </c>
      <c r="J78" s="357">
        <f>4.106</f>
        <v>4.1059999999999999</v>
      </c>
      <c r="K78" s="357">
        <f>4.106</f>
        <v>4.1059999999999999</v>
      </c>
      <c r="L78" s="357">
        <f>4.106</f>
        <v>4.1059999999999999</v>
      </c>
    </row>
    <row r="79" spans="1:12" ht="14.25" customHeight="1" thickBot="1" x14ac:dyDescent="0.3">
      <c r="A79" s="455"/>
      <c r="B79" s="457"/>
      <c r="C79" s="543"/>
      <c r="D79" s="703"/>
      <c r="E79" s="579"/>
      <c r="F79" s="567"/>
      <c r="G79" s="711"/>
      <c r="H79" s="497"/>
      <c r="I79" s="364" t="s">
        <v>23</v>
      </c>
      <c r="J79" s="366">
        <v>0</v>
      </c>
      <c r="K79" s="366">
        <v>0</v>
      </c>
      <c r="L79" s="366">
        <v>0</v>
      </c>
    </row>
    <row r="80" spans="1:12" ht="22.5" customHeight="1" thickBot="1" x14ac:dyDescent="0.3">
      <c r="A80" s="455"/>
      <c r="B80" s="457"/>
      <c r="C80" s="543"/>
      <c r="D80" s="703"/>
      <c r="E80" s="579"/>
      <c r="F80" s="567"/>
      <c r="G80" s="711"/>
      <c r="H80" s="498"/>
      <c r="I80" s="133" t="s">
        <v>20</v>
      </c>
      <c r="J80" s="211">
        <f>SUM(J50:J78)</f>
        <v>1601.2030000000002</v>
      </c>
      <c r="K80" s="211">
        <f>SUM(K50:K78)</f>
        <v>1601.1810000000003</v>
      </c>
      <c r="L80" s="211">
        <f>SUM(L50:L78)</f>
        <v>1601.1810000000003</v>
      </c>
    </row>
    <row r="81" spans="1:12" ht="36.75" customHeight="1" thickBot="1" x14ac:dyDescent="0.3">
      <c r="A81" s="591" t="s">
        <v>15</v>
      </c>
      <c r="B81" s="544" t="s">
        <v>15</v>
      </c>
      <c r="C81" s="542" t="s">
        <v>54</v>
      </c>
      <c r="D81" s="718" t="s">
        <v>100</v>
      </c>
      <c r="E81" s="593" t="s">
        <v>16</v>
      </c>
      <c r="F81" s="698" t="s">
        <v>30</v>
      </c>
      <c r="G81" s="697" t="s">
        <v>68</v>
      </c>
      <c r="H81" s="717" t="s">
        <v>18</v>
      </c>
      <c r="I81" s="125" t="s">
        <v>60</v>
      </c>
      <c r="J81" s="200">
        <v>0</v>
      </c>
      <c r="K81" s="201">
        <v>0</v>
      </c>
      <c r="L81" s="202">
        <v>0</v>
      </c>
    </row>
    <row r="82" spans="1:12" ht="27" customHeight="1" thickBot="1" x14ac:dyDescent="0.3">
      <c r="A82" s="592"/>
      <c r="B82" s="457"/>
      <c r="C82" s="543"/>
      <c r="D82" s="719"/>
      <c r="E82" s="594"/>
      <c r="F82" s="698"/>
      <c r="G82" s="481"/>
      <c r="H82" s="640"/>
      <c r="I82" s="277" t="s">
        <v>20</v>
      </c>
      <c r="J82" s="278">
        <f>SUM(J81:J81)</f>
        <v>0</v>
      </c>
      <c r="K82" s="279">
        <f>SUM(K81:K81)</f>
        <v>0</v>
      </c>
      <c r="L82" s="280">
        <f>SUM(L81:L81)</f>
        <v>0</v>
      </c>
    </row>
    <row r="83" spans="1:12" ht="23.25" customHeight="1" x14ac:dyDescent="0.25">
      <c r="A83" s="765" t="s">
        <v>15</v>
      </c>
      <c r="B83" s="631" t="s">
        <v>15</v>
      </c>
      <c r="C83" s="595" t="s">
        <v>55</v>
      </c>
      <c r="D83" s="538" t="s">
        <v>101</v>
      </c>
      <c r="E83" s="540" t="s">
        <v>16</v>
      </c>
      <c r="F83" s="588" t="s">
        <v>17</v>
      </c>
      <c r="G83" s="598" t="s">
        <v>64</v>
      </c>
      <c r="H83" s="589" t="s">
        <v>18</v>
      </c>
      <c r="I83" s="273" t="s">
        <v>19</v>
      </c>
      <c r="J83" s="199">
        <f>9000/1000</f>
        <v>9</v>
      </c>
      <c r="K83" s="258">
        <v>9</v>
      </c>
      <c r="L83" s="274">
        <v>9</v>
      </c>
    </row>
    <row r="84" spans="1:12" ht="12.6" thickBot="1" x14ac:dyDescent="0.3">
      <c r="A84" s="766"/>
      <c r="B84" s="767"/>
      <c r="C84" s="596"/>
      <c r="D84" s="539"/>
      <c r="E84" s="541"/>
      <c r="F84" s="588"/>
      <c r="G84" s="599"/>
      <c r="H84" s="590"/>
      <c r="I84" s="126" t="s">
        <v>20</v>
      </c>
      <c r="J84" s="127">
        <f>SUM(J83)</f>
        <v>9</v>
      </c>
      <c r="K84" s="128">
        <f t="shared" ref="K84:L84" si="10">SUM(K83)</f>
        <v>9</v>
      </c>
      <c r="L84" s="281">
        <f t="shared" si="10"/>
        <v>9</v>
      </c>
    </row>
    <row r="85" spans="1:12" ht="24.75" customHeight="1" thickBot="1" x14ac:dyDescent="0.3">
      <c r="A85" s="527" t="s">
        <v>15</v>
      </c>
      <c r="B85" s="515" t="s">
        <v>15</v>
      </c>
      <c r="C85" s="759" t="s">
        <v>56</v>
      </c>
      <c r="D85" s="760" t="s">
        <v>102</v>
      </c>
      <c r="E85" s="619" t="s">
        <v>16</v>
      </c>
      <c r="F85" s="321" t="s">
        <v>27</v>
      </c>
      <c r="G85" s="586" t="s">
        <v>26</v>
      </c>
      <c r="H85" s="502" t="s">
        <v>18</v>
      </c>
      <c r="I85" s="165" t="s">
        <v>19</v>
      </c>
      <c r="J85" s="194">
        <f>2700/1000</f>
        <v>2.7</v>
      </c>
      <c r="K85" s="194">
        <f>2700/1000</f>
        <v>2.7</v>
      </c>
      <c r="L85" s="194">
        <f>2700/1000</f>
        <v>2.7</v>
      </c>
    </row>
    <row r="86" spans="1:12" ht="30" customHeight="1" thickBot="1" x14ac:dyDescent="0.3">
      <c r="A86" s="526"/>
      <c r="B86" s="516"/>
      <c r="C86" s="517"/>
      <c r="D86" s="518"/>
      <c r="E86" s="619"/>
      <c r="F86" s="369" t="s">
        <v>28</v>
      </c>
      <c r="G86" s="587"/>
      <c r="H86" s="500"/>
      <c r="I86" s="370" t="s">
        <v>19</v>
      </c>
      <c r="J86" s="371">
        <f>3100/1000</f>
        <v>3.1</v>
      </c>
      <c r="K86" s="371">
        <f>3100/1000</f>
        <v>3.1</v>
      </c>
      <c r="L86" s="371">
        <f>3100/1000</f>
        <v>3.1</v>
      </c>
    </row>
    <row r="87" spans="1:12" ht="37.5" customHeight="1" thickBot="1" x14ac:dyDescent="0.3">
      <c r="A87" s="526"/>
      <c r="B87" s="516"/>
      <c r="C87" s="517"/>
      <c r="D87" s="518"/>
      <c r="E87" s="619"/>
      <c r="F87" s="369" t="s">
        <v>29</v>
      </c>
      <c r="G87" s="587"/>
      <c r="H87" s="500"/>
      <c r="I87" s="370" t="s">
        <v>19</v>
      </c>
      <c r="J87" s="371">
        <f>3700/1000</f>
        <v>3.7</v>
      </c>
      <c r="K87" s="371">
        <f>3700/1000</f>
        <v>3.7</v>
      </c>
      <c r="L87" s="371">
        <f>3700/1000</f>
        <v>3.7</v>
      </c>
    </row>
    <row r="88" spans="1:12" ht="33" customHeight="1" thickBot="1" x14ac:dyDescent="0.3">
      <c r="A88" s="526"/>
      <c r="B88" s="516"/>
      <c r="C88" s="517"/>
      <c r="D88" s="518"/>
      <c r="E88" s="619"/>
      <c r="F88" s="369" t="s">
        <v>30</v>
      </c>
      <c r="G88" s="587"/>
      <c r="H88" s="500"/>
      <c r="I88" s="370" t="s">
        <v>19</v>
      </c>
      <c r="J88" s="371">
        <f>3.8</f>
        <v>3.8</v>
      </c>
      <c r="K88" s="371">
        <f>3.8</f>
        <v>3.8</v>
      </c>
      <c r="L88" s="371">
        <f>3.8</f>
        <v>3.8</v>
      </c>
    </row>
    <row r="89" spans="1:12" ht="35.25" customHeight="1" thickBot="1" x14ac:dyDescent="0.3">
      <c r="A89" s="526"/>
      <c r="B89" s="516"/>
      <c r="C89" s="517"/>
      <c r="D89" s="518"/>
      <c r="E89" s="619"/>
      <c r="F89" s="369" t="s">
        <v>31</v>
      </c>
      <c r="G89" s="587"/>
      <c r="H89" s="500"/>
      <c r="I89" s="370" t="s">
        <v>19</v>
      </c>
      <c r="J89" s="371">
        <f>1.8</f>
        <v>1.8</v>
      </c>
      <c r="K89" s="371">
        <f>1.8</f>
        <v>1.8</v>
      </c>
      <c r="L89" s="371">
        <f>1.8</f>
        <v>1.8</v>
      </c>
    </row>
    <row r="90" spans="1:12" ht="37.5" customHeight="1" thickBot="1" x14ac:dyDescent="0.3">
      <c r="A90" s="526"/>
      <c r="B90" s="516"/>
      <c r="C90" s="517"/>
      <c r="D90" s="518"/>
      <c r="E90" s="619"/>
      <c r="F90" s="369" t="s">
        <v>32</v>
      </c>
      <c r="G90" s="587"/>
      <c r="H90" s="500"/>
      <c r="I90" s="370" t="s">
        <v>19</v>
      </c>
      <c r="J90" s="371">
        <f>5.7</f>
        <v>5.7</v>
      </c>
      <c r="K90" s="371">
        <f>5.7</f>
        <v>5.7</v>
      </c>
      <c r="L90" s="371">
        <f>5.7</f>
        <v>5.7</v>
      </c>
    </row>
    <row r="91" spans="1:12" ht="23.25" customHeight="1" thickBot="1" x14ac:dyDescent="0.3">
      <c r="A91" s="526"/>
      <c r="B91" s="516"/>
      <c r="C91" s="517"/>
      <c r="D91" s="518"/>
      <c r="E91" s="619"/>
      <c r="F91" s="369" t="s">
        <v>33</v>
      </c>
      <c r="G91" s="587"/>
      <c r="H91" s="500"/>
      <c r="I91" s="370" t="s">
        <v>19</v>
      </c>
      <c r="J91" s="371">
        <f>2.9</f>
        <v>2.9</v>
      </c>
      <c r="K91" s="371">
        <f>2.9</f>
        <v>2.9</v>
      </c>
      <c r="L91" s="371">
        <f>2.9</f>
        <v>2.9</v>
      </c>
    </row>
    <row r="92" spans="1:12" ht="17.25" customHeight="1" thickBot="1" x14ac:dyDescent="0.3">
      <c r="A92" s="526"/>
      <c r="B92" s="516"/>
      <c r="C92" s="517"/>
      <c r="D92" s="518"/>
      <c r="E92" s="619"/>
      <c r="F92" s="547" t="s">
        <v>34</v>
      </c>
      <c r="G92" s="587"/>
      <c r="H92" s="500"/>
      <c r="I92" s="370" t="s">
        <v>19</v>
      </c>
      <c r="J92" s="371">
        <f>11000/1000</f>
        <v>11</v>
      </c>
      <c r="K92" s="371">
        <f>11000/1000</f>
        <v>11</v>
      </c>
      <c r="L92" s="371">
        <f>11000/1000</f>
        <v>11</v>
      </c>
    </row>
    <row r="93" spans="1:12" ht="18.75" customHeight="1" thickBot="1" x14ac:dyDescent="0.3">
      <c r="A93" s="526"/>
      <c r="B93" s="516"/>
      <c r="C93" s="517"/>
      <c r="D93" s="518"/>
      <c r="E93" s="619"/>
      <c r="F93" s="548"/>
      <c r="G93" s="587"/>
      <c r="H93" s="500"/>
      <c r="I93" s="370" t="s">
        <v>23</v>
      </c>
      <c r="J93" s="371">
        <f>0.344</f>
        <v>0.34399999999999997</v>
      </c>
      <c r="K93" s="371">
        <f>0.344</f>
        <v>0.34399999999999997</v>
      </c>
      <c r="L93" s="371">
        <f>0.344</f>
        <v>0.34399999999999997</v>
      </c>
    </row>
    <row r="94" spans="1:12" ht="40.5" customHeight="1" thickBot="1" x14ac:dyDescent="0.3">
      <c r="A94" s="526"/>
      <c r="B94" s="516"/>
      <c r="C94" s="517"/>
      <c r="D94" s="518"/>
      <c r="E94" s="619"/>
      <c r="F94" s="369" t="s">
        <v>35</v>
      </c>
      <c r="G94" s="587"/>
      <c r="H94" s="500"/>
      <c r="I94" s="370" t="s">
        <v>19</v>
      </c>
      <c r="J94" s="371">
        <f>22500/1000</f>
        <v>22.5</v>
      </c>
      <c r="K94" s="371">
        <f>22500/1000</f>
        <v>22.5</v>
      </c>
      <c r="L94" s="371">
        <f>22500/1000</f>
        <v>22.5</v>
      </c>
    </row>
    <row r="95" spans="1:12" ht="32.25" customHeight="1" thickBot="1" x14ac:dyDescent="0.3">
      <c r="A95" s="526"/>
      <c r="B95" s="516"/>
      <c r="C95" s="517"/>
      <c r="D95" s="518"/>
      <c r="E95" s="619"/>
      <c r="F95" s="369" t="s">
        <v>36</v>
      </c>
      <c r="G95" s="587"/>
      <c r="H95" s="500"/>
      <c r="I95" s="370" t="s">
        <v>19</v>
      </c>
      <c r="J95" s="371">
        <f>7</f>
        <v>7</v>
      </c>
      <c r="K95" s="371">
        <f>7</f>
        <v>7</v>
      </c>
      <c r="L95" s="371">
        <f>7</f>
        <v>7</v>
      </c>
    </row>
    <row r="96" spans="1:12" ht="29.25" customHeight="1" thickBot="1" x14ac:dyDescent="0.3">
      <c r="A96" s="526"/>
      <c r="B96" s="516"/>
      <c r="C96" s="517"/>
      <c r="D96" s="518"/>
      <c r="E96" s="619"/>
      <c r="F96" s="369" t="s">
        <v>37</v>
      </c>
      <c r="G96" s="587"/>
      <c r="H96" s="500"/>
      <c r="I96" s="370" t="s">
        <v>19</v>
      </c>
      <c r="J96" s="371">
        <f>8</f>
        <v>8</v>
      </c>
      <c r="K96" s="371">
        <f>8</f>
        <v>8</v>
      </c>
      <c r="L96" s="371">
        <f>8</f>
        <v>8</v>
      </c>
    </row>
    <row r="97" spans="1:12" ht="32.25" customHeight="1" thickBot="1" x14ac:dyDescent="0.3">
      <c r="A97" s="526"/>
      <c r="B97" s="516"/>
      <c r="C97" s="517"/>
      <c r="D97" s="518"/>
      <c r="E97" s="619"/>
      <c r="F97" s="369" t="s">
        <v>38</v>
      </c>
      <c r="G97" s="587"/>
      <c r="H97" s="500"/>
      <c r="I97" s="370" t="s">
        <v>19</v>
      </c>
      <c r="J97" s="371">
        <f>4.9</f>
        <v>4.9000000000000004</v>
      </c>
      <c r="K97" s="371">
        <f>4.9</f>
        <v>4.9000000000000004</v>
      </c>
      <c r="L97" s="371">
        <f>4.9</f>
        <v>4.9000000000000004</v>
      </c>
    </row>
    <row r="98" spans="1:12" ht="36.75" customHeight="1" thickBot="1" x14ac:dyDescent="0.3">
      <c r="A98" s="526"/>
      <c r="B98" s="516"/>
      <c r="C98" s="517"/>
      <c r="D98" s="518"/>
      <c r="E98" s="619"/>
      <c r="F98" s="369" t="s">
        <v>39</v>
      </c>
      <c r="G98" s="587"/>
      <c r="H98" s="500"/>
      <c r="I98" s="370" t="s">
        <v>19</v>
      </c>
      <c r="J98" s="371">
        <f>6.6</f>
        <v>6.6</v>
      </c>
      <c r="K98" s="371">
        <f>6.6</f>
        <v>6.6</v>
      </c>
      <c r="L98" s="371">
        <f>6.6</f>
        <v>6.6</v>
      </c>
    </row>
    <row r="99" spans="1:12" ht="22.5" customHeight="1" thickBot="1" x14ac:dyDescent="0.3">
      <c r="A99" s="526"/>
      <c r="B99" s="516"/>
      <c r="C99" s="517"/>
      <c r="D99" s="518"/>
      <c r="E99" s="619"/>
      <c r="F99" s="369" t="s">
        <v>40</v>
      </c>
      <c r="G99" s="587"/>
      <c r="H99" s="500"/>
      <c r="I99" s="370" t="s">
        <v>19</v>
      </c>
      <c r="J99" s="371">
        <f>15500/1000</f>
        <v>15.5</v>
      </c>
      <c r="K99" s="371">
        <f>15500/1000</f>
        <v>15.5</v>
      </c>
      <c r="L99" s="371">
        <f>15500/1000</f>
        <v>15.5</v>
      </c>
    </row>
    <row r="100" spans="1:12" ht="32.25" customHeight="1" thickBot="1" x14ac:dyDescent="0.3">
      <c r="A100" s="526"/>
      <c r="B100" s="516"/>
      <c r="C100" s="517"/>
      <c r="D100" s="518"/>
      <c r="E100" s="619"/>
      <c r="F100" s="369" t="s">
        <v>41</v>
      </c>
      <c r="G100" s="587"/>
      <c r="H100" s="500"/>
      <c r="I100" s="370" t="s">
        <v>19</v>
      </c>
      <c r="J100" s="371">
        <f>8.1</f>
        <v>8.1</v>
      </c>
      <c r="K100" s="371">
        <f>8.1</f>
        <v>8.1</v>
      </c>
      <c r="L100" s="371">
        <f>8.1</f>
        <v>8.1</v>
      </c>
    </row>
    <row r="101" spans="1:12" ht="36" customHeight="1" thickBot="1" x14ac:dyDescent="0.3">
      <c r="A101" s="526"/>
      <c r="B101" s="516"/>
      <c r="C101" s="517"/>
      <c r="D101" s="518"/>
      <c r="E101" s="619"/>
      <c r="F101" s="372" t="s">
        <v>42</v>
      </c>
      <c r="G101" s="587"/>
      <c r="H101" s="500"/>
      <c r="I101" s="370" t="s">
        <v>19</v>
      </c>
      <c r="J101" s="371">
        <f>1.9</f>
        <v>1.9</v>
      </c>
      <c r="K101" s="371">
        <f>1.9</f>
        <v>1.9</v>
      </c>
      <c r="L101" s="371">
        <f>1.9</f>
        <v>1.9</v>
      </c>
    </row>
    <row r="102" spans="1:12" ht="26.25" customHeight="1" thickBot="1" x14ac:dyDescent="0.3">
      <c r="A102" s="526"/>
      <c r="B102" s="516"/>
      <c r="C102" s="517"/>
      <c r="D102" s="518"/>
      <c r="E102" s="619"/>
      <c r="F102" s="373" t="s">
        <v>43</v>
      </c>
      <c r="G102" s="587"/>
      <c r="H102" s="500"/>
      <c r="I102" s="370" t="s">
        <v>19</v>
      </c>
      <c r="J102" s="371">
        <f>16.7</f>
        <v>16.7</v>
      </c>
      <c r="K102" s="371">
        <f>16.7</f>
        <v>16.7</v>
      </c>
      <c r="L102" s="371">
        <f>16.7</f>
        <v>16.7</v>
      </c>
    </row>
    <row r="103" spans="1:12" ht="25.5" customHeight="1" thickBot="1" x14ac:dyDescent="0.3">
      <c r="A103" s="526"/>
      <c r="B103" s="516"/>
      <c r="C103" s="517"/>
      <c r="D103" s="518"/>
      <c r="E103" s="619"/>
      <c r="F103" s="584" t="s">
        <v>45</v>
      </c>
      <c r="G103" s="587"/>
      <c r="H103" s="500"/>
      <c r="I103" s="374" t="s">
        <v>19</v>
      </c>
      <c r="J103" s="375">
        <f>7.2</f>
        <v>7.2</v>
      </c>
      <c r="K103" s="375">
        <f>7.2</f>
        <v>7.2</v>
      </c>
      <c r="L103" s="375">
        <f>7.2</f>
        <v>7.2</v>
      </c>
    </row>
    <row r="104" spans="1:12" ht="15" customHeight="1" thickBot="1" x14ac:dyDescent="0.3">
      <c r="A104" s="526"/>
      <c r="B104" s="516"/>
      <c r="C104" s="517"/>
      <c r="D104" s="518"/>
      <c r="E104" s="761"/>
      <c r="F104" s="585"/>
      <c r="G104" s="587"/>
      <c r="H104" s="500"/>
      <c r="I104" s="259" t="s">
        <v>20</v>
      </c>
      <c r="J104" s="322">
        <f>SUM(J85:J103)</f>
        <v>133.44400000000002</v>
      </c>
      <c r="K104" s="322">
        <f>SUM(K85:K103)</f>
        <v>133.44400000000002</v>
      </c>
      <c r="L104" s="323">
        <f>SUM(L85:L103)</f>
        <v>133.44400000000002</v>
      </c>
    </row>
    <row r="105" spans="1:12" ht="24.6" thickBot="1" x14ac:dyDescent="0.3">
      <c r="A105" s="549" t="s">
        <v>15</v>
      </c>
      <c r="B105" s="516" t="s">
        <v>15</v>
      </c>
      <c r="C105" s="517" t="s">
        <v>57</v>
      </c>
      <c r="D105" s="518" t="s">
        <v>103</v>
      </c>
      <c r="E105" s="519" t="s">
        <v>16</v>
      </c>
      <c r="F105" s="177" t="s">
        <v>33</v>
      </c>
      <c r="G105" s="477" t="s">
        <v>26</v>
      </c>
      <c r="H105" s="499" t="s">
        <v>104</v>
      </c>
      <c r="I105" s="164" t="s">
        <v>60</v>
      </c>
      <c r="J105" s="20">
        <f>21.358</f>
        <v>21.358000000000001</v>
      </c>
      <c r="K105" s="20">
        <v>0</v>
      </c>
      <c r="L105" s="413">
        <v>0</v>
      </c>
    </row>
    <row r="106" spans="1:12" ht="24.6" thickBot="1" x14ac:dyDescent="0.3">
      <c r="A106" s="549"/>
      <c r="B106" s="516"/>
      <c r="C106" s="517"/>
      <c r="D106" s="518"/>
      <c r="E106" s="519"/>
      <c r="F106" s="148" t="s">
        <v>34</v>
      </c>
      <c r="G106" s="477"/>
      <c r="H106" s="500"/>
      <c r="I106" s="222" t="s">
        <v>60</v>
      </c>
      <c r="J106" s="109">
        <f>14.701</f>
        <v>14.701000000000001</v>
      </c>
      <c r="K106" s="109">
        <v>0</v>
      </c>
      <c r="L106" s="327">
        <v>0</v>
      </c>
    </row>
    <row r="107" spans="1:12" ht="24.6" thickBot="1" x14ac:dyDescent="0.3">
      <c r="A107" s="549"/>
      <c r="B107" s="516"/>
      <c r="C107" s="517"/>
      <c r="D107" s="518"/>
      <c r="E107" s="519"/>
      <c r="F107" s="148" t="s">
        <v>35</v>
      </c>
      <c r="G107" s="477"/>
      <c r="H107" s="500"/>
      <c r="I107" s="222" t="s">
        <v>60</v>
      </c>
      <c r="J107" s="109">
        <f>17.197</f>
        <v>17.196999999999999</v>
      </c>
      <c r="K107" s="109">
        <v>0</v>
      </c>
      <c r="L107" s="327">
        <v>0</v>
      </c>
    </row>
    <row r="108" spans="1:12" ht="24.6" thickBot="1" x14ac:dyDescent="0.3">
      <c r="A108" s="549"/>
      <c r="B108" s="516"/>
      <c r="C108" s="517"/>
      <c r="D108" s="518"/>
      <c r="E108" s="519"/>
      <c r="F108" s="148" t="s">
        <v>37</v>
      </c>
      <c r="G108" s="477"/>
      <c r="H108" s="500"/>
      <c r="I108" s="222" t="s">
        <v>60</v>
      </c>
      <c r="J108" s="109">
        <f>25.796</f>
        <v>25.795999999999999</v>
      </c>
      <c r="K108" s="109">
        <v>0</v>
      </c>
      <c r="L108" s="327">
        <v>0</v>
      </c>
    </row>
    <row r="109" spans="1:12" ht="24.6" thickBot="1" x14ac:dyDescent="0.3">
      <c r="A109" s="549"/>
      <c r="B109" s="516"/>
      <c r="C109" s="517"/>
      <c r="D109" s="518"/>
      <c r="E109" s="519"/>
      <c r="F109" s="148" t="s">
        <v>40</v>
      </c>
      <c r="G109" s="477"/>
      <c r="H109" s="500"/>
      <c r="I109" s="222" t="s">
        <v>60</v>
      </c>
      <c r="J109" s="109">
        <f>17.475</f>
        <v>17.475000000000001</v>
      </c>
      <c r="K109" s="109">
        <v>0</v>
      </c>
      <c r="L109" s="327">
        <v>0</v>
      </c>
    </row>
    <row r="110" spans="1:12" ht="21" customHeight="1" thickBot="1" x14ac:dyDescent="0.3">
      <c r="A110" s="549"/>
      <c r="B110" s="516"/>
      <c r="C110" s="517"/>
      <c r="D110" s="518"/>
      <c r="E110" s="519"/>
      <c r="F110" s="520" t="s">
        <v>45</v>
      </c>
      <c r="G110" s="477"/>
      <c r="H110" s="500"/>
      <c r="I110" s="222" t="s">
        <v>60</v>
      </c>
      <c r="J110" s="109">
        <f>16.365</f>
        <v>16.364999999999998</v>
      </c>
      <c r="K110" s="109">
        <v>0</v>
      </c>
      <c r="L110" s="327">
        <v>0</v>
      </c>
    </row>
    <row r="111" spans="1:12" ht="21" customHeight="1" thickBot="1" x14ac:dyDescent="0.3">
      <c r="A111" s="549"/>
      <c r="B111" s="516"/>
      <c r="C111" s="517"/>
      <c r="D111" s="518"/>
      <c r="E111" s="519"/>
      <c r="F111" s="521"/>
      <c r="G111" s="477"/>
      <c r="H111" s="500"/>
      <c r="I111" s="129" t="s">
        <v>19</v>
      </c>
      <c r="J111" s="108">
        <v>0</v>
      </c>
      <c r="K111" s="108">
        <v>0</v>
      </c>
      <c r="L111" s="300">
        <v>0</v>
      </c>
    </row>
    <row r="112" spans="1:12" ht="20.25" customHeight="1" thickBot="1" x14ac:dyDescent="0.3">
      <c r="A112" s="549"/>
      <c r="B112" s="516"/>
      <c r="C112" s="517"/>
      <c r="D112" s="518"/>
      <c r="E112" s="519"/>
      <c r="F112" s="522"/>
      <c r="G112" s="477"/>
      <c r="H112" s="501"/>
      <c r="I112" s="126" t="s">
        <v>20</v>
      </c>
      <c r="J112" s="127">
        <f>SUM(J105:J111)</f>
        <v>112.89199999999998</v>
      </c>
      <c r="K112" s="128">
        <f>SUM(K105:K111)</f>
        <v>0</v>
      </c>
      <c r="L112" s="323">
        <f>SUM(L105:L111)</f>
        <v>0</v>
      </c>
    </row>
    <row r="113" spans="1:12" ht="15" customHeight="1" x14ac:dyDescent="0.25">
      <c r="A113" s="553" t="s">
        <v>15</v>
      </c>
      <c r="B113" s="556" t="s">
        <v>15</v>
      </c>
      <c r="C113" s="509" t="s">
        <v>61</v>
      </c>
      <c r="D113" s="824" t="s">
        <v>105</v>
      </c>
      <c r="E113" s="770" t="s">
        <v>106</v>
      </c>
      <c r="F113" s="773" t="s">
        <v>17</v>
      </c>
      <c r="G113" s="533" t="s">
        <v>67</v>
      </c>
      <c r="H113" s="807" t="s">
        <v>107</v>
      </c>
      <c r="I113" s="165" t="s">
        <v>19</v>
      </c>
      <c r="J113" s="194">
        <v>0</v>
      </c>
      <c r="K113" s="194">
        <f>426148.86/1000</f>
        <v>426.14886000000001</v>
      </c>
      <c r="L113" s="194">
        <v>0</v>
      </c>
    </row>
    <row r="114" spans="1:12" ht="15" customHeight="1" x14ac:dyDescent="0.25">
      <c r="A114" s="554"/>
      <c r="B114" s="557"/>
      <c r="C114" s="510"/>
      <c r="D114" s="825"/>
      <c r="E114" s="771"/>
      <c r="F114" s="774"/>
      <c r="G114" s="806"/>
      <c r="H114" s="683"/>
      <c r="I114" s="370" t="s">
        <v>108</v>
      </c>
      <c r="J114" s="371">
        <v>338.6</v>
      </c>
      <c r="K114" s="371">
        <v>0</v>
      </c>
      <c r="L114" s="371">
        <v>0</v>
      </c>
    </row>
    <row r="115" spans="1:12" ht="21" customHeight="1" x14ac:dyDescent="0.25">
      <c r="A115" s="554"/>
      <c r="B115" s="557"/>
      <c r="C115" s="510"/>
      <c r="D115" s="825"/>
      <c r="E115" s="771"/>
      <c r="F115" s="775"/>
      <c r="G115" s="479"/>
      <c r="H115" s="683"/>
      <c r="I115" s="374" t="s">
        <v>69</v>
      </c>
      <c r="J115" s="375">
        <f>1143.429</f>
        <v>1143.4290000000001</v>
      </c>
      <c r="K115" s="375">
        <f>(1700160.47/1000)-60.17</f>
        <v>1639.99047</v>
      </c>
      <c r="L115" s="375">
        <f>(1156411.08/1000)+60.17</f>
        <v>1216.5810800000002</v>
      </c>
    </row>
    <row r="116" spans="1:12" ht="19.95" customHeight="1" x14ac:dyDescent="0.25">
      <c r="A116" s="554"/>
      <c r="B116" s="557"/>
      <c r="C116" s="510"/>
      <c r="D116" s="825"/>
      <c r="E116" s="771"/>
      <c r="F116" s="551" t="s">
        <v>31</v>
      </c>
      <c r="G116" s="573" t="s">
        <v>26</v>
      </c>
      <c r="H116" s="683"/>
      <c r="I116" s="165" t="s">
        <v>19</v>
      </c>
      <c r="J116" s="194">
        <v>0</v>
      </c>
      <c r="K116" s="194">
        <v>0</v>
      </c>
      <c r="L116" s="194">
        <v>0</v>
      </c>
    </row>
    <row r="117" spans="1:12" ht="18" customHeight="1" x14ac:dyDescent="0.25">
      <c r="A117" s="554"/>
      <c r="B117" s="557"/>
      <c r="C117" s="510"/>
      <c r="D117" s="825"/>
      <c r="E117" s="771"/>
      <c r="F117" s="552"/>
      <c r="G117" s="573"/>
      <c r="H117" s="683"/>
      <c r="I117" s="374" t="s">
        <v>69</v>
      </c>
      <c r="J117" s="375">
        <v>82.174999999999997</v>
      </c>
      <c r="K117" s="375">
        <v>0</v>
      </c>
      <c r="L117" s="375">
        <v>0</v>
      </c>
    </row>
    <row r="118" spans="1:12" ht="19.2" customHeight="1" x14ac:dyDescent="0.25">
      <c r="A118" s="554"/>
      <c r="B118" s="557"/>
      <c r="C118" s="510"/>
      <c r="D118" s="825"/>
      <c r="E118" s="771"/>
      <c r="F118" s="551" t="s">
        <v>37</v>
      </c>
      <c r="G118" s="573"/>
      <c r="H118" s="683"/>
      <c r="I118" s="165" t="s">
        <v>19</v>
      </c>
      <c r="J118" s="194">
        <f>13018/1000</f>
        <v>13.018000000000001</v>
      </c>
      <c r="K118" s="194">
        <v>0</v>
      </c>
      <c r="L118" s="194">
        <v>0</v>
      </c>
    </row>
    <row r="119" spans="1:12" ht="18" customHeight="1" x14ac:dyDescent="0.25">
      <c r="A119" s="554"/>
      <c r="B119" s="557"/>
      <c r="C119" s="510"/>
      <c r="D119" s="825"/>
      <c r="E119" s="771"/>
      <c r="F119" s="552"/>
      <c r="G119" s="573"/>
      <c r="H119" s="683"/>
      <c r="I119" s="374" t="s">
        <v>69</v>
      </c>
      <c r="J119" s="375">
        <v>157.57499999999999</v>
      </c>
      <c r="K119" s="375">
        <v>0</v>
      </c>
      <c r="L119" s="375">
        <v>0</v>
      </c>
    </row>
    <row r="120" spans="1:12" ht="21" customHeight="1" x14ac:dyDescent="0.25">
      <c r="A120" s="554"/>
      <c r="B120" s="557"/>
      <c r="C120" s="510"/>
      <c r="D120" s="825"/>
      <c r="E120" s="771"/>
      <c r="F120" s="551" t="s">
        <v>36</v>
      </c>
      <c r="G120" s="573"/>
      <c r="H120" s="683"/>
      <c r="I120" s="165" t="s">
        <v>19</v>
      </c>
      <c r="J120" s="194">
        <v>0</v>
      </c>
      <c r="K120" s="194">
        <v>0</v>
      </c>
      <c r="L120" s="194">
        <v>0</v>
      </c>
    </row>
    <row r="121" spans="1:12" ht="16.95" customHeight="1" x14ac:dyDescent="0.25">
      <c r="A121" s="554"/>
      <c r="B121" s="557"/>
      <c r="C121" s="510"/>
      <c r="D121" s="825"/>
      <c r="E121" s="771"/>
      <c r="F121" s="552"/>
      <c r="G121" s="573"/>
      <c r="H121" s="683"/>
      <c r="I121" s="374" t="s">
        <v>69</v>
      </c>
      <c r="J121" s="375">
        <v>124</v>
      </c>
      <c r="K121" s="375">
        <v>0</v>
      </c>
      <c r="L121" s="375">
        <v>0</v>
      </c>
    </row>
    <row r="122" spans="1:12" ht="15" customHeight="1" x14ac:dyDescent="0.25">
      <c r="A122" s="554"/>
      <c r="B122" s="557"/>
      <c r="C122" s="510"/>
      <c r="D122" s="825"/>
      <c r="E122" s="771"/>
      <c r="F122" s="571" t="s">
        <v>34</v>
      </c>
      <c r="G122" s="573"/>
      <c r="H122" s="683"/>
      <c r="I122" s="324" t="s">
        <v>19</v>
      </c>
      <c r="J122" s="195">
        <f>31765/1000</f>
        <v>31.765000000000001</v>
      </c>
      <c r="K122" s="195">
        <v>0</v>
      </c>
      <c r="L122" s="195">
        <v>0</v>
      </c>
    </row>
    <row r="123" spans="1:12" ht="15" customHeight="1" x14ac:dyDescent="0.25">
      <c r="A123" s="554"/>
      <c r="B123" s="557"/>
      <c r="C123" s="510"/>
      <c r="D123" s="825"/>
      <c r="E123" s="771"/>
      <c r="F123" s="572"/>
      <c r="G123" s="478"/>
      <c r="H123" s="683"/>
      <c r="I123" s="346" t="s">
        <v>69</v>
      </c>
      <c r="J123" s="300">
        <v>180</v>
      </c>
      <c r="K123" s="300">
        <v>0</v>
      </c>
      <c r="L123" s="300">
        <v>0</v>
      </c>
    </row>
    <row r="124" spans="1:12" ht="16.5" customHeight="1" thickBot="1" x14ac:dyDescent="0.3">
      <c r="A124" s="555"/>
      <c r="B124" s="558"/>
      <c r="C124" s="511"/>
      <c r="D124" s="826"/>
      <c r="E124" s="772"/>
      <c r="F124" s="572"/>
      <c r="G124" s="478"/>
      <c r="H124" s="808"/>
      <c r="I124" s="259" t="s">
        <v>20</v>
      </c>
      <c r="J124" s="260">
        <f>J113+J115+J116+J118+J120+J122+J123+J114</f>
        <v>1706.8120000000004</v>
      </c>
      <c r="K124" s="260">
        <f>K113+K115+K116+K118+K120+K122+K123+K114</f>
        <v>2066.13933</v>
      </c>
      <c r="L124" s="113">
        <f>L113+L115+L116+L118+L120+L122+L123+L114</f>
        <v>1216.5810800000002</v>
      </c>
    </row>
    <row r="125" spans="1:12" ht="27" customHeight="1" thickBot="1" x14ac:dyDescent="0.3">
      <c r="A125" s="550" t="s">
        <v>15</v>
      </c>
      <c r="B125" s="603" t="s">
        <v>15</v>
      </c>
      <c r="C125" s="759" t="s">
        <v>62</v>
      </c>
      <c r="D125" s="760" t="s">
        <v>109</v>
      </c>
      <c r="E125" s="777" t="s">
        <v>66</v>
      </c>
      <c r="F125" s="559" t="s">
        <v>17</v>
      </c>
      <c r="G125" s="533" t="s">
        <v>67</v>
      </c>
      <c r="H125" s="778" t="s">
        <v>110</v>
      </c>
      <c r="I125" s="182" t="s">
        <v>19</v>
      </c>
      <c r="J125" s="195">
        <f>40000/1000</f>
        <v>40</v>
      </c>
      <c r="K125" s="195">
        <f t="shared" ref="K125:L125" si="11">40000/1000</f>
        <v>40</v>
      </c>
      <c r="L125" s="195">
        <f t="shared" si="11"/>
        <v>40</v>
      </c>
    </row>
    <row r="126" spans="1:12" ht="22.95" customHeight="1" thickBot="1" x14ac:dyDescent="0.3">
      <c r="A126" s="550"/>
      <c r="B126" s="603"/>
      <c r="C126" s="759"/>
      <c r="D126" s="760"/>
      <c r="E126" s="777"/>
      <c r="F126" s="560"/>
      <c r="G126" s="534"/>
      <c r="H126" s="779"/>
      <c r="I126" s="265" t="s">
        <v>20</v>
      </c>
      <c r="J126" s="266">
        <f>SUM(J125:J125)</f>
        <v>40</v>
      </c>
      <c r="K126" s="250">
        <f>SUM(K125:K125)</f>
        <v>40</v>
      </c>
      <c r="L126" s="250">
        <f>SUM(L125:L125)</f>
        <v>40</v>
      </c>
    </row>
    <row r="127" spans="1:12" ht="26.4" customHeight="1" x14ac:dyDescent="0.25">
      <c r="A127" s="268" t="s">
        <v>15</v>
      </c>
      <c r="B127" s="569" t="s">
        <v>15</v>
      </c>
      <c r="C127" s="272" t="s">
        <v>63</v>
      </c>
      <c r="D127" s="827" t="s">
        <v>111</v>
      </c>
      <c r="E127" s="271" t="s">
        <v>16</v>
      </c>
      <c r="F127" s="325" t="s">
        <v>112</v>
      </c>
      <c r="G127" s="817" t="s">
        <v>26</v>
      </c>
      <c r="H127" s="819" t="s">
        <v>18</v>
      </c>
      <c r="I127" s="165" t="s">
        <v>19</v>
      </c>
      <c r="J127" s="441">
        <f>11628/1000</f>
        <v>11.628</v>
      </c>
      <c r="K127" s="194">
        <f>11628/1000</f>
        <v>11.628</v>
      </c>
      <c r="L127" s="194">
        <f>11628/1000</f>
        <v>11.628</v>
      </c>
    </row>
    <row r="128" spans="1:12" ht="27.6" customHeight="1" x14ac:dyDescent="0.25">
      <c r="A128" s="269"/>
      <c r="B128" s="570"/>
      <c r="C128" s="263"/>
      <c r="D128" s="828"/>
      <c r="E128" s="262"/>
      <c r="F128" s="326" t="s">
        <v>113</v>
      </c>
      <c r="G128" s="816"/>
      <c r="H128" s="820"/>
      <c r="I128" s="370" t="s">
        <v>19</v>
      </c>
      <c r="J128" s="442">
        <f>6537/1000</f>
        <v>6.5369999999999999</v>
      </c>
      <c r="K128" s="371">
        <f>6537/1000</f>
        <v>6.5369999999999999</v>
      </c>
      <c r="L128" s="371">
        <f>6537/1000</f>
        <v>6.5369999999999999</v>
      </c>
    </row>
    <row r="129" spans="1:12" ht="31.95" customHeight="1" x14ac:dyDescent="0.25">
      <c r="A129" s="269"/>
      <c r="B129" s="264"/>
      <c r="C129" s="263"/>
      <c r="D129" s="828"/>
      <c r="E129" s="262"/>
      <c r="F129" s="284" t="s">
        <v>31</v>
      </c>
      <c r="G129" s="816"/>
      <c r="H129" s="820"/>
      <c r="I129" s="324" t="s">
        <v>19</v>
      </c>
      <c r="J129" s="400">
        <f>21169/1000</f>
        <v>21.169</v>
      </c>
      <c r="K129" s="195">
        <f>21169/1000</f>
        <v>21.169</v>
      </c>
      <c r="L129" s="195">
        <f>21169/1000</f>
        <v>21.169</v>
      </c>
    </row>
    <row r="130" spans="1:12" ht="37.200000000000003" customHeight="1" x14ac:dyDescent="0.25">
      <c r="A130" s="269"/>
      <c r="B130" s="264"/>
      <c r="C130" s="263"/>
      <c r="D130" s="828"/>
      <c r="E130" s="262"/>
      <c r="F130" s="284" t="s">
        <v>32</v>
      </c>
      <c r="G130" s="816"/>
      <c r="H130" s="820"/>
      <c r="I130" s="184" t="s">
        <v>19</v>
      </c>
      <c r="J130" s="398">
        <f>8548/1000</f>
        <v>8.548</v>
      </c>
      <c r="K130" s="327">
        <f>8548/1000</f>
        <v>8.548</v>
      </c>
      <c r="L130" s="327">
        <f>8548/1000</f>
        <v>8.548</v>
      </c>
    </row>
    <row r="131" spans="1:12" ht="27.6" customHeight="1" x14ac:dyDescent="0.25">
      <c r="A131" s="269"/>
      <c r="B131" s="264"/>
      <c r="C131" s="263"/>
      <c r="D131" s="282"/>
      <c r="E131" s="262"/>
      <c r="F131" s="284" t="s">
        <v>34</v>
      </c>
      <c r="G131" s="816"/>
      <c r="H131" s="820"/>
      <c r="I131" s="184" t="s">
        <v>19</v>
      </c>
      <c r="J131" s="398">
        <f>67765/1000</f>
        <v>67.765000000000001</v>
      </c>
      <c r="K131" s="327">
        <f>67765/1000</f>
        <v>67.765000000000001</v>
      </c>
      <c r="L131" s="327">
        <f>67765/1000</f>
        <v>67.765000000000001</v>
      </c>
    </row>
    <row r="132" spans="1:12" ht="31.2" customHeight="1" x14ac:dyDescent="0.25">
      <c r="A132" s="269"/>
      <c r="B132" s="264"/>
      <c r="C132" s="263"/>
      <c r="D132" s="282"/>
      <c r="E132" s="262"/>
      <c r="F132" s="62" t="s">
        <v>35</v>
      </c>
      <c r="G132" s="816"/>
      <c r="H132" s="820"/>
      <c r="I132" s="183" t="s">
        <v>19</v>
      </c>
      <c r="J132" s="399">
        <f>42738/1000</f>
        <v>42.738</v>
      </c>
      <c r="K132" s="299">
        <f>42738/1000</f>
        <v>42.738</v>
      </c>
      <c r="L132" s="299">
        <f>42738/1000</f>
        <v>42.738</v>
      </c>
    </row>
    <row r="133" spans="1:12" ht="30" customHeight="1" x14ac:dyDescent="0.25">
      <c r="A133" s="269"/>
      <c r="B133" s="264"/>
      <c r="C133" s="263"/>
      <c r="D133" s="282"/>
      <c r="E133" s="262"/>
      <c r="F133" s="62" t="s">
        <v>36</v>
      </c>
      <c r="G133" s="816"/>
      <c r="H133" s="820"/>
      <c r="I133" s="184" t="s">
        <v>19</v>
      </c>
      <c r="J133" s="398">
        <f>34491/1000</f>
        <v>34.491</v>
      </c>
      <c r="K133" s="327">
        <f>34491/1000</f>
        <v>34.491</v>
      </c>
      <c r="L133" s="327">
        <f>34491/1000</f>
        <v>34.491</v>
      </c>
    </row>
    <row r="134" spans="1:12" ht="28.5" customHeight="1" x14ac:dyDescent="0.25">
      <c r="A134" s="269"/>
      <c r="B134" s="264"/>
      <c r="C134" s="263"/>
      <c r="D134" s="282"/>
      <c r="E134" s="262"/>
      <c r="F134" s="62" t="s">
        <v>37</v>
      </c>
      <c r="G134" s="816"/>
      <c r="H134" s="820"/>
      <c r="I134" s="184" t="s">
        <v>19</v>
      </c>
      <c r="J134" s="398">
        <f>125296/1000</f>
        <v>125.29600000000001</v>
      </c>
      <c r="K134" s="327">
        <f>125296/1000</f>
        <v>125.29600000000001</v>
      </c>
      <c r="L134" s="327">
        <f>125296/1000</f>
        <v>125.29600000000001</v>
      </c>
    </row>
    <row r="135" spans="1:12" ht="29.25" customHeight="1" x14ac:dyDescent="0.25">
      <c r="A135" s="269"/>
      <c r="B135" s="264"/>
      <c r="C135" s="263"/>
      <c r="D135" s="282"/>
      <c r="E135" s="262"/>
      <c r="F135" s="62" t="s">
        <v>38</v>
      </c>
      <c r="G135" s="816"/>
      <c r="H135" s="820"/>
      <c r="I135" s="184" t="s">
        <v>19</v>
      </c>
      <c r="J135" s="398">
        <f>39905/1000</f>
        <v>39.905000000000001</v>
      </c>
      <c r="K135" s="327">
        <f>39905/1000</f>
        <v>39.905000000000001</v>
      </c>
      <c r="L135" s="327">
        <f>39905/1000</f>
        <v>39.905000000000001</v>
      </c>
    </row>
    <row r="136" spans="1:12" ht="33.75" customHeight="1" x14ac:dyDescent="0.25">
      <c r="A136" s="269"/>
      <c r="B136" s="264"/>
      <c r="C136" s="263"/>
      <c r="D136" s="282"/>
      <c r="E136" s="262"/>
      <c r="F136" s="63" t="s">
        <v>39</v>
      </c>
      <c r="G136" s="816"/>
      <c r="H136" s="820"/>
      <c r="I136" s="183" t="s">
        <v>19</v>
      </c>
      <c r="J136" s="399">
        <f>25843/1000</f>
        <v>25.843</v>
      </c>
      <c r="K136" s="299">
        <f>25843/1000</f>
        <v>25.843</v>
      </c>
      <c r="L136" s="299">
        <f>25843/1000</f>
        <v>25.843</v>
      </c>
    </row>
    <row r="137" spans="1:12" ht="19.95" customHeight="1" x14ac:dyDescent="0.25">
      <c r="A137" s="269"/>
      <c r="B137" s="264"/>
      <c r="C137" s="263"/>
      <c r="D137" s="282"/>
      <c r="E137" s="262"/>
      <c r="F137" s="815" t="s">
        <v>41</v>
      </c>
      <c r="G137" s="816"/>
      <c r="H137" s="820"/>
      <c r="I137" s="370" t="s">
        <v>19</v>
      </c>
      <c r="J137" s="442">
        <f>8886/1000</f>
        <v>8.8859999999999992</v>
      </c>
      <c r="K137" s="371">
        <f>8886/1000</f>
        <v>8.8859999999999992</v>
      </c>
      <c r="L137" s="371">
        <f>8886/1000</f>
        <v>8.8859999999999992</v>
      </c>
    </row>
    <row r="138" spans="1:12" ht="19.95" customHeight="1" x14ac:dyDescent="0.25">
      <c r="A138" s="269"/>
      <c r="B138" s="264"/>
      <c r="C138" s="263"/>
      <c r="D138" s="282"/>
      <c r="E138" s="262"/>
      <c r="F138" s="816"/>
      <c r="G138" s="816"/>
      <c r="H138" s="820"/>
      <c r="I138" s="374" t="s">
        <v>60</v>
      </c>
      <c r="J138" s="443">
        <v>0</v>
      </c>
      <c r="K138" s="375">
        <v>0</v>
      </c>
      <c r="L138" s="375">
        <v>0</v>
      </c>
    </row>
    <row r="139" spans="1:12" ht="33.75" customHeight="1" thickBot="1" x14ac:dyDescent="0.3">
      <c r="A139" s="270"/>
      <c r="B139" s="264"/>
      <c r="C139" s="263"/>
      <c r="D139" s="283"/>
      <c r="E139" s="262"/>
      <c r="F139" s="816"/>
      <c r="G139" s="818"/>
      <c r="H139" s="821"/>
      <c r="I139" s="301" t="s">
        <v>20</v>
      </c>
      <c r="J139" s="322">
        <f>J127+J130+J131+J132+J133+J134+J135+J136+J137+J128+J129+J138</f>
        <v>392.80599999999998</v>
      </c>
      <c r="K139" s="322">
        <f>K127+K130+K131+K132+K133+K134+K135+K136+K137</f>
        <v>365.1</v>
      </c>
      <c r="L139" s="293">
        <f>L127+L130+L131+L132+L133+L134+L135+L136+L137</f>
        <v>365.1</v>
      </c>
    </row>
    <row r="140" spans="1:12" ht="29.25" customHeight="1" x14ac:dyDescent="0.25">
      <c r="A140" s="561" t="s">
        <v>15</v>
      </c>
      <c r="B140" s="569" t="s">
        <v>15</v>
      </c>
      <c r="C140" s="843" t="s">
        <v>65</v>
      </c>
      <c r="D140" s="605" t="s">
        <v>114</v>
      </c>
      <c r="E140" s="523" t="s">
        <v>16</v>
      </c>
      <c r="F140" s="319" t="s">
        <v>17</v>
      </c>
      <c r="G140" s="308" t="s">
        <v>64</v>
      </c>
      <c r="H140" s="822" t="s">
        <v>18</v>
      </c>
      <c r="I140" s="165" t="s">
        <v>19</v>
      </c>
      <c r="J140" s="194">
        <f>10000/1000</f>
        <v>10</v>
      </c>
      <c r="K140" s="194">
        <v>10</v>
      </c>
      <c r="L140" s="194">
        <v>10</v>
      </c>
    </row>
    <row r="141" spans="1:12" ht="18" customHeight="1" x14ac:dyDescent="0.25">
      <c r="A141" s="561"/>
      <c r="B141" s="570"/>
      <c r="C141" s="604"/>
      <c r="D141" s="605"/>
      <c r="E141" s="524"/>
      <c r="F141" s="845" t="s">
        <v>39</v>
      </c>
      <c r="G141" s="836" t="s">
        <v>115</v>
      </c>
      <c r="H141" s="822"/>
      <c r="I141" s="847" t="s">
        <v>19</v>
      </c>
      <c r="J141" s="848">
        <f>3</f>
        <v>3</v>
      </c>
      <c r="K141" s="849">
        <v>3</v>
      </c>
      <c r="L141" s="849">
        <v>3</v>
      </c>
    </row>
    <row r="142" spans="1:12" ht="11.25" customHeight="1" x14ac:dyDescent="0.25">
      <c r="A142" s="561"/>
      <c r="B142" s="570"/>
      <c r="C142" s="604"/>
      <c r="D142" s="605"/>
      <c r="E142" s="524"/>
      <c r="F142" s="846"/>
      <c r="G142" s="530"/>
      <c r="H142" s="822"/>
      <c r="I142" s="847"/>
      <c r="J142" s="848"/>
      <c r="K142" s="849"/>
      <c r="L142" s="849"/>
    </row>
    <row r="143" spans="1:12" ht="18" customHeight="1" x14ac:dyDescent="0.25">
      <c r="A143" s="561"/>
      <c r="B143" s="570"/>
      <c r="C143" s="604"/>
      <c r="D143" s="605"/>
      <c r="E143" s="524"/>
      <c r="F143" s="547" t="s">
        <v>27</v>
      </c>
      <c r="G143" s="530"/>
      <c r="H143" s="822"/>
      <c r="I143" s="847" t="s">
        <v>19</v>
      </c>
      <c r="J143" s="848">
        <f>2</f>
        <v>2</v>
      </c>
      <c r="K143" s="849">
        <v>2</v>
      </c>
      <c r="L143" s="849">
        <v>2</v>
      </c>
    </row>
    <row r="144" spans="1:12" ht="14.25" customHeight="1" x14ac:dyDescent="0.25">
      <c r="A144" s="561"/>
      <c r="B144" s="570"/>
      <c r="C144" s="604"/>
      <c r="D144" s="605"/>
      <c r="E144" s="524"/>
      <c r="F144" s="548"/>
      <c r="G144" s="530"/>
      <c r="H144" s="822"/>
      <c r="I144" s="847"/>
      <c r="J144" s="848"/>
      <c r="K144" s="849"/>
      <c r="L144" s="849"/>
    </row>
    <row r="145" spans="1:12" ht="18" customHeight="1" x14ac:dyDescent="0.25">
      <c r="A145" s="561"/>
      <c r="B145" s="570"/>
      <c r="C145" s="604"/>
      <c r="D145" s="605"/>
      <c r="E145" s="524"/>
      <c r="F145" s="547" t="s">
        <v>31</v>
      </c>
      <c r="G145" s="530"/>
      <c r="H145" s="822"/>
      <c r="I145" s="847" t="s">
        <v>19</v>
      </c>
      <c r="J145" s="848">
        <f>3</f>
        <v>3</v>
      </c>
      <c r="K145" s="849">
        <v>3</v>
      </c>
      <c r="L145" s="849">
        <v>3</v>
      </c>
    </row>
    <row r="146" spans="1:12" ht="12" customHeight="1" x14ac:dyDescent="0.25">
      <c r="A146" s="561"/>
      <c r="B146" s="570"/>
      <c r="C146" s="604"/>
      <c r="D146" s="605"/>
      <c r="E146" s="524"/>
      <c r="F146" s="548"/>
      <c r="G146" s="530"/>
      <c r="H146" s="822"/>
      <c r="I146" s="847"/>
      <c r="J146" s="848"/>
      <c r="K146" s="849"/>
      <c r="L146" s="849"/>
    </row>
    <row r="147" spans="1:12" ht="27.75" customHeight="1" x14ac:dyDescent="0.25">
      <c r="A147" s="561"/>
      <c r="B147" s="570"/>
      <c r="C147" s="604"/>
      <c r="D147" s="605"/>
      <c r="E147" s="524"/>
      <c r="F147" s="333" t="s">
        <v>38</v>
      </c>
      <c r="G147" s="530"/>
      <c r="H147" s="822"/>
      <c r="I147" s="370" t="s">
        <v>19</v>
      </c>
      <c r="J147" s="376">
        <f>3</f>
        <v>3</v>
      </c>
      <c r="K147" s="371">
        <v>3</v>
      </c>
      <c r="L147" s="371">
        <v>3</v>
      </c>
    </row>
    <row r="148" spans="1:12" ht="27.75" customHeight="1" x14ac:dyDescent="0.25">
      <c r="A148" s="561"/>
      <c r="B148" s="570"/>
      <c r="C148" s="604"/>
      <c r="D148" s="605"/>
      <c r="E148" s="524"/>
      <c r="F148" s="377" t="s">
        <v>35</v>
      </c>
      <c r="G148" s="530"/>
      <c r="H148" s="822"/>
      <c r="I148" s="370" t="s">
        <v>19</v>
      </c>
      <c r="J148" s="376">
        <f>7</f>
        <v>7</v>
      </c>
      <c r="K148" s="371">
        <v>7</v>
      </c>
      <c r="L148" s="371">
        <v>7</v>
      </c>
    </row>
    <row r="149" spans="1:12" ht="39" customHeight="1" thickBot="1" x14ac:dyDescent="0.3">
      <c r="A149" s="561"/>
      <c r="B149" s="570"/>
      <c r="C149" s="604"/>
      <c r="D149" s="605"/>
      <c r="E149" s="524"/>
      <c r="F149" s="856" t="s">
        <v>28</v>
      </c>
      <c r="G149" s="530"/>
      <c r="H149" s="822"/>
      <c r="I149" s="374" t="s">
        <v>19</v>
      </c>
      <c r="J149" s="378">
        <f>2</f>
        <v>2</v>
      </c>
      <c r="K149" s="375">
        <v>2</v>
      </c>
      <c r="L149" s="375">
        <v>2</v>
      </c>
    </row>
    <row r="150" spans="1:12" ht="28.5" customHeight="1" thickBot="1" x14ac:dyDescent="0.3">
      <c r="A150" s="562"/>
      <c r="B150" s="842"/>
      <c r="C150" s="844"/>
      <c r="D150" s="671"/>
      <c r="E150" s="525"/>
      <c r="F150" s="857"/>
      <c r="G150" s="837"/>
      <c r="H150" s="823"/>
      <c r="I150" s="133" t="s">
        <v>20</v>
      </c>
      <c r="J150" s="211">
        <f>SUM(J140:J148)+J149</f>
        <v>30</v>
      </c>
      <c r="K150" s="312">
        <f>SUM(K140:K149)</f>
        <v>30</v>
      </c>
      <c r="L150" s="312">
        <f>SUM(L140:L149)</f>
        <v>30</v>
      </c>
    </row>
    <row r="151" spans="1:12" ht="25.5" customHeight="1" thickBot="1" x14ac:dyDescent="0.3">
      <c r="A151" s="550" t="s">
        <v>15</v>
      </c>
      <c r="B151" s="603" t="s">
        <v>15</v>
      </c>
      <c r="C151" s="604" t="s">
        <v>116</v>
      </c>
      <c r="D151" s="605" t="s">
        <v>117</v>
      </c>
      <c r="E151" s="606" t="s">
        <v>16</v>
      </c>
      <c r="F151" s="858" t="s">
        <v>35</v>
      </c>
      <c r="G151" s="530" t="s">
        <v>68</v>
      </c>
      <c r="H151" s="622" t="s">
        <v>18</v>
      </c>
      <c r="I151" s="303" t="s">
        <v>19</v>
      </c>
      <c r="J151" s="22">
        <f>6000/1000</f>
        <v>6</v>
      </c>
      <c r="K151" s="213">
        <v>6</v>
      </c>
      <c r="L151" s="22">
        <v>6</v>
      </c>
    </row>
    <row r="152" spans="1:12" ht="21.75" customHeight="1" thickBot="1" x14ac:dyDescent="0.3">
      <c r="A152" s="550"/>
      <c r="B152" s="603"/>
      <c r="C152" s="604"/>
      <c r="D152" s="605"/>
      <c r="E152" s="607"/>
      <c r="F152" s="859"/>
      <c r="G152" s="530"/>
      <c r="H152" s="623"/>
      <c r="I152" s="301" t="s">
        <v>20</v>
      </c>
      <c r="J152" s="309">
        <f>J151</f>
        <v>6</v>
      </c>
      <c r="K152" s="330">
        <f>K151</f>
        <v>6</v>
      </c>
      <c r="L152" s="309">
        <f>L151</f>
        <v>6</v>
      </c>
    </row>
    <row r="153" spans="1:12" ht="21.75" customHeight="1" x14ac:dyDescent="0.25">
      <c r="A153" s="503" t="s">
        <v>15</v>
      </c>
      <c r="B153" s="506" t="s">
        <v>15</v>
      </c>
      <c r="C153" s="509" t="s">
        <v>118</v>
      </c>
      <c r="D153" s="512" t="s">
        <v>119</v>
      </c>
      <c r="E153" s="606" t="s">
        <v>16</v>
      </c>
      <c r="F153" s="447" t="s">
        <v>17</v>
      </c>
      <c r="G153" s="447" t="s">
        <v>64</v>
      </c>
      <c r="H153" s="862" t="s">
        <v>18</v>
      </c>
      <c r="I153" s="165" t="s">
        <v>19</v>
      </c>
      <c r="J153" s="194">
        <f>600/1000</f>
        <v>0.6</v>
      </c>
      <c r="K153" s="194">
        <f>50.667</f>
        <v>50.667000000000002</v>
      </c>
      <c r="L153" s="194">
        <v>0</v>
      </c>
    </row>
    <row r="154" spans="1:12" ht="21.75" customHeight="1" x14ac:dyDescent="0.25">
      <c r="A154" s="504"/>
      <c r="B154" s="507"/>
      <c r="C154" s="510"/>
      <c r="D154" s="513"/>
      <c r="E154" s="740"/>
      <c r="F154" s="448"/>
      <c r="G154" s="448"/>
      <c r="H154" s="863"/>
      <c r="I154" s="370" t="s">
        <v>69</v>
      </c>
      <c r="J154" s="371">
        <v>5.2939999999999996</v>
      </c>
      <c r="K154" s="371">
        <f>287.11</f>
        <v>287.11</v>
      </c>
      <c r="L154" s="371">
        <v>0</v>
      </c>
    </row>
    <row r="155" spans="1:12" ht="21.75" customHeight="1" x14ac:dyDescent="0.25">
      <c r="A155" s="504"/>
      <c r="B155" s="507"/>
      <c r="C155" s="510"/>
      <c r="D155" s="513"/>
      <c r="E155" s="740"/>
      <c r="F155" s="448"/>
      <c r="G155" s="448"/>
      <c r="H155" s="863"/>
      <c r="I155" s="370" t="s">
        <v>60</v>
      </c>
      <c r="J155" s="371">
        <v>0</v>
      </c>
      <c r="K155" s="371">
        <v>0</v>
      </c>
      <c r="L155" s="371">
        <v>0</v>
      </c>
    </row>
    <row r="156" spans="1:12" ht="21.75" customHeight="1" thickBot="1" x14ac:dyDescent="0.3">
      <c r="A156" s="504"/>
      <c r="B156" s="507"/>
      <c r="C156" s="510"/>
      <c r="D156" s="513"/>
      <c r="E156" s="317"/>
      <c r="F156" s="449"/>
      <c r="G156" s="449"/>
      <c r="H156" s="864"/>
      <c r="I156" s="374" t="s">
        <v>23</v>
      </c>
      <c r="J156" s="375">
        <v>227.643</v>
      </c>
      <c r="K156" s="375">
        <v>0</v>
      </c>
      <c r="L156" s="375">
        <v>0</v>
      </c>
    </row>
    <row r="157" spans="1:12" ht="20.399999999999999" customHeight="1" x14ac:dyDescent="0.25">
      <c r="A157" s="504"/>
      <c r="B157" s="507"/>
      <c r="C157" s="510"/>
      <c r="D157" s="513"/>
      <c r="E157" s="328"/>
      <c r="F157" s="858" t="s">
        <v>31</v>
      </c>
      <c r="G157" s="447" t="s">
        <v>26</v>
      </c>
      <c r="H157" s="862" t="s">
        <v>18</v>
      </c>
      <c r="I157" s="99" t="s">
        <v>19</v>
      </c>
      <c r="J157" s="117">
        <f>3550/1000</f>
        <v>3.55</v>
      </c>
      <c r="K157" s="117">
        <v>0</v>
      </c>
      <c r="L157" s="117">
        <v>0</v>
      </c>
    </row>
    <row r="158" spans="1:12" ht="21" customHeight="1" thickBot="1" x14ac:dyDescent="0.3">
      <c r="A158" s="504"/>
      <c r="B158" s="507"/>
      <c r="C158" s="510"/>
      <c r="D158" s="513"/>
      <c r="E158" s="328"/>
      <c r="F158" s="859"/>
      <c r="G158" s="448"/>
      <c r="H158" s="863"/>
      <c r="I158" s="187" t="s">
        <v>69</v>
      </c>
      <c r="J158" s="313">
        <v>31.318000000000001</v>
      </c>
      <c r="K158" s="313">
        <v>0</v>
      </c>
      <c r="L158" s="313">
        <v>0</v>
      </c>
    </row>
    <row r="159" spans="1:12" ht="22.95" customHeight="1" x14ac:dyDescent="0.25">
      <c r="A159" s="504"/>
      <c r="B159" s="507"/>
      <c r="C159" s="510"/>
      <c r="D159" s="513"/>
      <c r="E159" s="328"/>
      <c r="F159" s="447" t="s">
        <v>32</v>
      </c>
      <c r="G159" s="448"/>
      <c r="H159" s="863"/>
      <c r="I159" s="165" t="s">
        <v>19</v>
      </c>
      <c r="J159" s="194">
        <f>4550/1000</f>
        <v>4.55</v>
      </c>
      <c r="K159" s="194">
        <v>0</v>
      </c>
      <c r="L159" s="194">
        <v>0</v>
      </c>
    </row>
    <row r="160" spans="1:12" ht="19.2" customHeight="1" thickBot="1" x14ac:dyDescent="0.3">
      <c r="A160" s="504"/>
      <c r="B160" s="507"/>
      <c r="C160" s="510"/>
      <c r="D160" s="513"/>
      <c r="E160" s="328"/>
      <c r="F160" s="449"/>
      <c r="G160" s="448"/>
      <c r="H160" s="863"/>
      <c r="I160" s="374" t="s">
        <v>69</v>
      </c>
      <c r="J160" s="375">
        <v>40.14</v>
      </c>
      <c r="K160" s="375">
        <v>0</v>
      </c>
      <c r="L160" s="375">
        <v>0</v>
      </c>
    </row>
    <row r="161" spans="1:12" ht="18" customHeight="1" x14ac:dyDescent="0.25">
      <c r="A161" s="504"/>
      <c r="B161" s="507"/>
      <c r="C161" s="510"/>
      <c r="D161" s="513"/>
      <c r="E161" s="328"/>
      <c r="F161" s="448" t="s">
        <v>35</v>
      </c>
      <c r="G161" s="448"/>
      <c r="H161" s="863"/>
      <c r="I161" s="165" t="s">
        <v>19</v>
      </c>
      <c r="J161" s="194">
        <f>4600/1000</f>
        <v>4.5999999999999996</v>
      </c>
      <c r="K161" s="194">
        <v>0</v>
      </c>
      <c r="L161" s="194">
        <v>0</v>
      </c>
    </row>
    <row r="162" spans="1:12" ht="22.95" customHeight="1" thickBot="1" x14ac:dyDescent="0.3">
      <c r="A162" s="504"/>
      <c r="B162" s="507"/>
      <c r="C162" s="510"/>
      <c r="D162" s="513"/>
      <c r="E162" s="328"/>
      <c r="F162" s="448"/>
      <c r="G162" s="448"/>
      <c r="H162" s="863"/>
      <c r="I162" s="374" t="s">
        <v>69</v>
      </c>
      <c r="J162" s="375">
        <v>40.581000000000003</v>
      </c>
      <c r="K162" s="375">
        <v>0</v>
      </c>
      <c r="L162" s="375">
        <v>0</v>
      </c>
    </row>
    <row r="163" spans="1:12" ht="21" customHeight="1" x14ac:dyDescent="0.25">
      <c r="A163" s="504"/>
      <c r="B163" s="507"/>
      <c r="C163" s="510"/>
      <c r="D163" s="513"/>
      <c r="E163" s="328"/>
      <c r="F163" s="447" t="s">
        <v>36</v>
      </c>
      <c r="G163" s="448"/>
      <c r="H163" s="863"/>
      <c r="I163" s="165" t="s">
        <v>19</v>
      </c>
      <c r="J163" s="194">
        <f>1650/1000</f>
        <v>1.65</v>
      </c>
      <c r="K163" s="194">
        <v>0</v>
      </c>
      <c r="L163" s="194">
        <v>0</v>
      </c>
    </row>
    <row r="164" spans="1:12" ht="22.2" customHeight="1" thickBot="1" x14ac:dyDescent="0.3">
      <c r="A164" s="504"/>
      <c r="B164" s="507"/>
      <c r="C164" s="510"/>
      <c r="D164" s="513"/>
      <c r="E164" s="328"/>
      <c r="F164" s="449"/>
      <c r="G164" s="448"/>
      <c r="H164" s="863"/>
      <c r="I164" s="374" t="s">
        <v>69</v>
      </c>
      <c r="J164" s="375">
        <v>14.555999999999999</v>
      </c>
      <c r="K164" s="375">
        <v>0</v>
      </c>
      <c r="L164" s="375">
        <v>0</v>
      </c>
    </row>
    <row r="165" spans="1:12" ht="19.2" customHeight="1" x14ac:dyDescent="0.25">
      <c r="A165" s="504"/>
      <c r="B165" s="507"/>
      <c r="C165" s="510"/>
      <c r="D165" s="513"/>
      <c r="E165" s="328"/>
      <c r="F165" s="447" t="s">
        <v>37</v>
      </c>
      <c r="G165" s="448"/>
      <c r="H165" s="863"/>
      <c r="I165" s="165" t="s">
        <v>19</v>
      </c>
      <c r="J165" s="194">
        <f>5500/1000</f>
        <v>5.5</v>
      </c>
      <c r="K165" s="194">
        <v>0</v>
      </c>
      <c r="L165" s="194">
        <v>0</v>
      </c>
    </row>
    <row r="166" spans="1:12" ht="18" customHeight="1" thickBot="1" x14ac:dyDescent="0.3">
      <c r="A166" s="504"/>
      <c r="B166" s="507"/>
      <c r="C166" s="510"/>
      <c r="D166" s="513"/>
      <c r="E166" s="328"/>
      <c r="F166" s="449"/>
      <c r="G166" s="448"/>
      <c r="H166" s="863"/>
      <c r="I166" s="101" t="s">
        <v>69</v>
      </c>
      <c r="J166" s="314">
        <v>48.52</v>
      </c>
      <c r="K166" s="314">
        <v>0</v>
      </c>
      <c r="L166" s="314">
        <v>0</v>
      </c>
    </row>
    <row r="167" spans="1:12" ht="22.95" customHeight="1" x14ac:dyDescent="0.25">
      <c r="A167" s="504"/>
      <c r="B167" s="507"/>
      <c r="C167" s="510"/>
      <c r="D167" s="513"/>
      <c r="E167" s="328"/>
      <c r="F167" s="447" t="s">
        <v>38</v>
      </c>
      <c r="G167" s="448"/>
      <c r="H167" s="863"/>
      <c r="I167" s="165" t="s">
        <v>19</v>
      </c>
      <c r="J167" s="194">
        <f>3750/1000</f>
        <v>3.75</v>
      </c>
      <c r="K167" s="194">
        <v>0</v>
      </c>
      <c r="L167" s="194">
        <v>0</v>
      </c>
    </row>
    <row r="168" spans="1:12" ht="22.95" customHeight="1" thickBot="1" x14ac:dyDescent="0.3">
      <c r="A168" s="504"/>
      <c r="B168" s="507"/>
      <c r="C168" s="510"/>
      <c r="D168" s="513"/>
      <c r="E168" s="328"/>
      <c r="F168" s="449"/>
      <c r="G168" s="448"/>
      <c r="H168" s="863"/>
      <c r="I168" s="352" t="s">
        <v>69</v>
      </c>
      <c r="J168" s="354">
        <v>33.082000000000001</v>
      </c>
      <c r="K168" s="354">
        <v>0</v>
      </c>
      <c r="L168" s="354">
        <v>0</v>
      </c>
    </row>
    <row r="169" spans="1:12" ht="19.2" customHeight="1" x14ac:dyDescent="0.25">
      <c r="A169" s="504"/>
      <c r="B169" s="507"/>
      <c r="C169" s="510"/>
      <c r="D169" s="513"/>
      <c r="E169" s="328"/>
      <c r="F169" s="447" t="s">
        <v>42</v>
      </c>
      <c r="G169" s="448"/>
      <c r="H169" s="863"/>
      <c r="I169" s="165" t="s">
        <v>19</v>
      </c>
      <c r="J169" s="194">
        <f>1400/1000</f>
        <v>1.4</v>
      </c>
      <c r="K169" s="194">
        <v>0</v>
      </c>
      <c r="L169" s="194">
        <v>0</v>
      </c>
    </row>
    <row r="170" spans="1:12" ht="19.2" customHeight="1" thickBot="1" x14ac:dyDescent="0.3">
      <c r="A170" s="504"/>
      <c r="B170" s="507"/>
      <c r="C170" s="510"/>
      <c r="D170" s="513"/>
      <c r="E170" s="328"/>
      <c r="F170" s="448"/>
      <c r="G170" s="448"/>
      <c r="H170" s="863"/>
      <c r="I170" s="374" t="s">
        <v>69</v>
      </c>
      <c r="J170" s="375">
        <v>12.351000000000001</v>
      </c>
      <c r="K170" s="375">
        <v>0</v>
      </c>
      <c r="L170" s="375">
        <v>0</v>
      </c>
    </row>
    <row r="171" spans="1:12" ht="31.2" customHeight="1" thickBot="1" x14ac:dyDescent="0.3">
      <c r="A171" s="505"/>
      <c r="B171" s="508"/>
      <c r="C171" s="511"/>
      <c r="D171" s="514"/>
      <c r="E171" s="329"/>
      <c r="F171" s="548"/>
      <c r="G171" s="449"/>
      <c r="H171" s="623"/>
      <c r="I171" s="133" t="s">
        <v>20</v>
      </c>
      <c r="J171" s="211">
        <f>SUM(J153:J169)</f>
        <v>466.73399999999998</v>
      </c>
      <c r="K171" s="211">
        <f>SUM(K153:K170)</f>
        <v>337.77700000000004</v>
      </c>
      <c r="L171" s="211">
        <f>SUM(L153:L170)</f>
        <v>0</v>
      </c>
    </row>
    <row r="172" spans="1:12" ht="17.399999999999999" customHeight="1" thickBot="1" x14ac:dyDescent="0.3">
      <c r="A172" s="65" t="s">
        <v>15</v>
      </c>
      <c r="B172" s="218" t="s">
        <v>15</v>
      </c>
      <c r="C172" s="833" t="s">
        <v>58</v>
      </c>
      <c r="D172" s="834"/>
      <c r="E172" s="834"/>
      <c r="F172" s="834"/>
      <c r="G172" s="834"/>
      <c r="H172" s="834"/>
      <c r="I172" s="834"/>
      <c r="J172" s="310">
        <f>J171+J152+J150+J139+J126+J124+J112+J104+J84+J82+J80+J49+J39+J36+J16</f>
        <v>23421.547000000002</v>
      </c>
      <c r="K172" s="310">
        <f>K16+K36+K39+K49+K80+K82+K84+K104+K112+K124+K150+K152+K139+K171</f>
        <v>23408.941330000001</v>
      </c>
      <c r="L172" s="331">
        <f>L16+L36+L39+L49+L80+L82+L84+L104+L112+L124+L150+L152+L139+L171</f>
        <v>22221.606080000001</v>
      </c>
    </row>
    <row r="173" spans="1:12" ht="15" customHeight="1" thickBot="1" x14ac:dyDescent="0.3">
      <c r="A173" s="67" t="s">
        <v>15</v>
      </c>
      <c r="B173" s="68" t="s">
        <v>21</v>
      </c>
      <c r="C173" s="219" t="s">
        <v>120</v>
      </c>
      <c r="D173" s="220"/>
      <c r="E173" s="221"/>
      <c r="F173" s="130"/>
      <c r="G173" s="221"/>
      <c r="H173" s="130"/>
      <c r="I173" s="130"/>
      <c r="J173" s="130"/>
      <c r="K173" s="130"/>
      <c r="L173" s="131"/>
    </row>
    <row r="174" spans="1:12" ht="21.75" customHeight="1" x14ac:dyDescent="0.25">
      <c r="A174" s="620" t="s">
        <v>15</v>
      </c>
      <c r="B174" s="634" t="s">
        <v>21</v>
      </c>
      <c r="C174" s="531" t="s">
        <v>15</v>
      </c>
      <c r="D174" s="535" t="s">
        <v>121</v>
      </c>
      <c r="E174" s="537"/>
      <c r="F174" s="625" t="s">
        <v>45</v>
      </c>
      <c r="G174" s="853" t="s">
        <v>26</v>
      </c>
      <c r="H174" s="783" t="s">
        <v>122</v>
      </c>
      <c r="I174" s="224" t="s">
        <v>19</v>
      </c>
      <c r="J174" s="226">
        <f>409187/1000</f>
        <v>409.18700000000001</v>
      </c>
      <c r="K174" s="226">
        <f>409187/1000</f>
        <v>409.18700000000001</v>
      </c>
      <c r="L174" s="414">
        <f>409187/1000</f>
        <v>409.18700000000001</v>
      </c>
    </row>
    <row r="175" spans="1:12" ht="21.75" customHeight="1" x14ac:dyDescent="0.25">
      <c r="A175" s="621"/>
      <c r="B175" s="635"/>
      <c r="C175" s="532"/>
      <c r="D175" s="535"/>
      <c r="E175" s="537"/>
      <c r="F175" s="626"/>
      <c r="G175" s="713"/>
      <c r="H175" s="784"/>
      <c r="I175" s="315" t="s">
        <v>60</v>
      </c>
      <c r="J175" s="320">
        <f>32.4</f>
        <v>32.4</v>
      </c>
      <c r="K175" s="320">
        <f>32.4</f>
        <v>32.4</v>
      </c>
      <c r="L175" s="415">
        <f>32.4</f>
        <v>32.4</v>
      </c>
    </row>
    <row r="176" spans="1:12" ht="18.75" customHeight="1" thickBot="1" x14ac:dyDescent="0.3">
      <c r="A176" s="621"/>
      <c r="B176" s="635"/>
      <c r="C176" s="532"/>
      <c r="D176" s="535"/>
      <c r="E176" s="537"/>
      <c r="F176" s="850"/>
      <c r="G176" s="713"/>
      <c r="H176" s="784"/>
      <c r="I176" s="225" t="s">
        <v>44</v>
      </c>
      <c r="J176" s="246">
        <f>15.4</f>
        <v>15.4</v>
      </c>
      <c r="K176" s="246">
        <f>15.375</f>
        <v>15.375</v>
      </c>
      <c r="L176" s="416">
        <f>15.375</f>
        <v>15.375</v>
      </c>
    </row>
    <row r="177" spans="1:16" ht="20.25" customHeight="1" x14ac:dyDescent="0.25">
      <c r="A177" s="621"/>
      <c r="B177" s="635"/>
      <c r="C177" s="532"/>
      <c r="D177" s="536"/>
      <c r="E177" s="537"/>
      <c r="F177" s="625" t="s">
        <v>43</v>
      </c>
      <c r="G177" s="713"/>
      <c r="H177" s="784"/>
      <c r="I177" s="224" t="s">
        <v>19</v>
      </c>
      <c r="J177" s="226">
        <f>765429/1000</f>
        <v>765.42899999999997</v>
      </c>
      <c r="K177" s="226">
        <f>765429/1000</f>
        <v>765.42899999999997</v>
      </c>
      <c r="L177" s="417">
        <f>765429/1000</f>
        <v>765.42899999999997</v>
      </c>
    </row>
    <row r="178" spans="1:16" ht="20.25" customHeight="1" x14ac:dyDescent="0.25">
      <c r="A178" s="621"/>
      <c r="B178" s="635"/>
      <c r="C178" s="532"/>
      <c r="D178" s="536"/>
      <c r="E178" s="537"/>
      <c r="F178" s="626"/>
      <c r="G178" s="713"/>
      <c r="H178" s="784"/>
      <c r="I178" s="225" t="s">
        <v>60</v>
      </c>
      <c r="J178" s="227">
        <f>108.811</f>
        <v>108.81100000000001</v>
      </c>
      <c r="K178" s="227">
        <f>108.811</f>
        <v>108.81100000000001</v>
      </c>
      <c r="L178" s="418">
        <f>108.811</f>
        <v>108.81100000000001</v>
      </c>
    </row>
    <row r="179" spans="1:16" ht="20.25" customHeight="1" x14ac:dyDescent="0.25">
      <c r="A179" s="621"/>
      <c r="B179" s="635"/>
      <c r="C179" s="532"/>
      <c r="D179" s="536"/>
      <c r="E179" s="537"/>
      <c r="F179" s="626"/>
      <c r="G179" s="713"/>
      <c r="H179" s="784"/>
      <c r="I179" s="225" t="s">
        <v>44</v>
      </c>
      <c r="J179" s="227">
        <f>51.9</f>
        <v>51.9</v>
      </c>
      <c r="K179" s="227">
        <f>51.9</f>
        <v>51.9</v>
      </c>
      <c r="L179" s="418">
        <f>51.9</f>
        <v>51.9</v>
      </c>
    </row>
    <row r="180" spans="1:16" ht="20.25" customHeight="1" thickBot="1" x14ac:dyDescent="0.3">
      <c r="A180" s="621"/>
      <c r="B180" s="635"/>
      <c r="C180" s="532"/>
      <c r="D180" s="536"/>
      <c r="E180" s="537"/>
      <c r="F180" s="626"/>
      <c r="G180" s="713"/>
      <c r="H180" s="784"/>
      <c r="I180" s="347" t="s">
        <v>23</v>
      </c>
      <c r="J180" s="348">
        <v>0</v>
      </c>
      <c r="K180" s="348">
        <v>1</v>
      </c>
      <c r="L180" s="419">
        <v>2</v>
      </c>
    </row>
    <row r="181" spans="1:16" ht="18.75" customHeight="1" thickBot="1" x14ac:dyDescent="0.3">
      <c r="A181" s="621"/>
      <c r="B181" s="635"/>
      <c r="C181" s="532"/>
      <c r="D181" s="536"/>
      <c r="E181" s="537"/>
      <c r="F181" s="626"/>
      <c r="G181" s="713"/>
      <c r="H181" s="784"/>
      <c r="I181" s="290" t="s">
        <v>20</v>
      </c>
      <c r="J181" s="291">
        <f>SUM(J174:J180)</f>
        <v>1383.127</v>
      </c>
      <c r="K181" s="292">
        <f>SUM(K174:K180)</f>
        <v>1384.1020000000001</v>
      </c>
      <c r="L181" s="293">
        <f>SUM(L174:L180)</f>
        <v>1385.1020000000001</v>
      </c>
    </row>
    <row r="182" spans="1:16" ht="29.25" customHeight="1" thickBot="1" x14ac:dyDescent="0.3">
      <c r="A182" s="765" t="s">
        <v>15</v>
      </c>
      <c r="B182" s="631" t="s">
        <v>21</v>
      </c>
      <c r="C182" s="595" t="s">
        <v>21</v>
      </c>
      <c r="D182" s="718" t="s">
        <v>123</v>
      </c>
      <c r="E182" s="540" t="s">
        <v>16</v>
      </c>
      <c r="F182" s="286" t="s">
        <v>17</v>
      </c>
      <c r="G182" s="287" t="s">
        <v>64</v>
      </c>
      <c r="H182" s="611" t="s">
        <v>124</v>
      </c>
      <c r="I182" s="288" t="s">
        <v>19</v>
      </c>
      <c r="J182" s="289">
        <f>3000/1000</f>
        <v>3</v>
      </c>
      <c r="K182" s="289">
        <f>3000/1000</f>
        <v>3</v>
      </c>
      <c r="L182" s="421">
        <f>3000/1000</f>
        <v>3</v>
      </c>
      <c r="P182" s="15"/>
    </row>
    <row r="183" spans="1:16" ht="26.25" customHeight="1" x14ac:dyDescent="0.25">
      <c r="A183" s="799"/>
      <c r="B183" s="632"/>
      <c r="C183" s="510"/>
      <c r="D183" s="763"/>
      <c r="E183" s="692"/>
      <c r="F183" s="379" t="s">
        <v>45</v>
      </c>
      <c r="G183" s="768" t="s">
        <v>68</v>
      </c>
      <c r="H183" s="612"/>
      <c r="I183" s="380" t="s">
        <v>19</v>
      </c>
      <c r="J183" s="289">
        <f>9800/1000</f>
        <v>9.8000000000000007</v>
      </c>
      <c r="K183" s="289">
        <f>9800/1000</f>
        <v>9.8000000000000007</v>
      </c>
      <c r="L183" s="422">
        <f>9800/1000</f>
        <v>9.8000000000000007</v>
      </c>
    </row>
    <row r="184" spans="1:16" ht="20.25" customHeight="1" thickBot="1" x14ac:dyDescent="0.3">
      <c r="A184" s="799"/>
      <c r="B184" s="632"/>
      <c r="C184" s="510"/>
      <c r="D184" s="763"/>
      <c r="E184" s="692"/>
      <c r="F184" s="838" t="s">
        <v>43</v>
      </c>
      <c r="G184" s="768"/>
      <c r="H184" s="612"/>
      <c r="I184" s="360" t="s">
        <v>19</v>
      </c>
      <c r="J184" s="381">
        <v>0</v>
      </c>
      <c r="K184" s="381">
        <v>1</v>
      </c>
      <c r="L184" s="423">
        <v>2</v>
      </c>
    </row>
    <row r="185" spans="1:16" ht="19.5" customHeight="1" thickBot="1" x14ac:dyDescent="0.3">
      <c r="A185" s="800"/>
      <c r="B185" s="633"/>
      <c r="C185" s="758"/>
      <c r="D185" s="764"/>
      <c r="E185" s="692"/>
      <c r="F185" s="839"/>
      <c r="G185" s="769"/>
      <c r="H185" s="613"/>
      <c r="I185" s="251" t="s">
        <v>20</v>
      </c>
      <c r="J185" s="252">
        <f>SUM(J182:J184)</f>
        <v>12.8</v>
      </c>
      <c r="K185" s="276">
        <f t="shared" ref="K185:L185" si="12">SUM(K182:K183)</f>
        <v>12.8</v>
      </c>
      <c r="L185" s="420">
        <f t="shared" si="12"/>
        <v>12.8</v>
      </c>
    </row>
    <row r="186" spans="1:16" ht="15" customHeight="1" x14ac:dyDescent="0.25">
      <c r="A186" s="621" t="s">
        <v>15</v>
      </c>
      <c r="B186" s="632" t="s">
        <v>21</v>
      </c>
      <c r="C186" s="510" t="s">
        <v>22</v>
      </c>
      <c r="D186" s="763" t="s">
        <v>125</v>
      </c>
      <c r="E186" s="640" t="s">
        <v>16</v>
      </c>
      <c r="F186" s="854" t="s">
        <v>17</v>
      </c>
      <c r="G186" s="829" t="s">
        <v>64</v>
      </c>
      <c r="H186" s="793" t="s">
        <v>122</v>
      </c>
      <c r="I186" s="285" t="s">
        <v>19</v>
      </c>
      <c r="J186" s="100">
        <f>35000/1000</f>
        <v>35</v>
      </c>
      <c r="K186" s="100">
        <f>35000/1000</f>
        <v>35</v>
      </c>
      <c r="L186" s="100">
        <f>35000/1000</f>
        <v>35</v>
      </c>
    </row>
    <row r="187" spans="1:16" ht="16.5" customHeight="1" thickBot="1" x14ac:dyDescent="0.3">
      <c r="A187" s="621"/>
      <c r="B187" s="632"/>
      <c r="C187" s="510"/>
      <c r="D187" s="763"/>
      <c r="E187" s="594"/>
      <c r="F187" s="855"/>
      <c r="G187" s="830"/>
      <c r="H187" s="793"/>
      <c r="I187" s="305" t="s">
        <v>60</v>
      </c>
      <c r="J187" s="23">
        <f>200.6</f>
        <v>200.6</v>
      </c>
      <c r="K187" s="23">
        <f>200.6</f>
        <v>200.6</v>
      </c>
      <c r="L187" s="23">
        <f>200.6</f>
        <v>200.6</v>
      </c>
    </row>
    <row r="188" spans="1:16" ht="24.75" customHeight="1" x14ac:dyDescent="0.25">
      <c r="A188" s="621"/>
      <c r="B188" s="632"/>
      <c r="C188" s="762"/>
      <c r="D188" s="763"/>
      <c r="E188" s="692"/>
      <c r="F188" s="304" t="s">
        <v>126</v>
      </c>
      <c r="G188" s="755" t="s">
        <v>68</v>
      </c>
      <c r="H188" s="793"/>
      <c r="I188" s="306" t="s">
        <v>19</v>
      </c>
      <c r="J188" s="188">
        <v>0</v>
      </c>
      <c r="K188" s="188">
        <v>0</v>
      </c>
      <c r="L188" s="188">
        <v>0</v>
      </c>
    </row>
    <row r="189" spans="1:16" ht="24" x14ac:dyDescent="0.25">
      <c r="A189" s="621"/>
      <c r="B189" s="632"/>
      <c r="C189" s="762"/>
      <c r="D189" s="763"/>
      <c r="E189" s="692"/>
      <c r="F189" s="382" t="s">
        <v>33</v>
      </c>
      <c r="G189" s="756"/>
      <c r="H189" s="793"/>
      <c r="I189" s="383" t="s">
        <v>19</v>
      </c>
      <c r="J189" s="100">
        <v>0</v>
      </c>
      <c r="K189" s="100">
        <v>0</v>
      </c>
      <c r="L189" s="100">
        <v>0</v>
      </c>
    </row>
    <row r="190" spans="1:16" ht="24" x14ac:dyDescent="0.25">
      <c r="A190" s="621"/>
      <c r="B190" s="632"/>
      <c r="C190" s="762"/>
      <c r="D190" s="763"/>
      <c r="E190" s="692"/>
      <c r="F190" s="369" t="s">
        <v>34</v>
      </c>
      <c r="G190" s="756"/>
      <c r="H190" s="793"/>
      <c r="I190" s="383" t="s">
        <v>19</v>
      </c>
      <c r="J190" s="100">
        <v>0</v>
      </c>
      <c r="K190" s="100">
        <v>0</v>
      </c>
      <c r="L190" s="100">
        <v>0</v>
      </c>
    </row>
    <row r="191" spans="1:16" ht="24" x14ac:dyDescent="0.25">
      <c r="A191" s="621"/>
      <c r="B191" s="632"/>
      <c r="C191" s="762"/>
      <c r="D191" s="763"/>
      <c r="E191" s="692"/>
      <c r="F191" s="382" t="s">
        <v>127</v>
      </c>
      <c r="G191" s="756"/>
      <c r="H191" s="793"/>
      <c r="I191" s="383" t="s">
        <v>19</v>
      </c>
      <c r="J191" s="100">
        <v>0</v>
      </c>
      <c r="K191" s="100">
        <v>0</v>
      </c>
      <c r="L191" s="100">
        <v>0</v>
      </c>
    </row>
    <row r="192" spans="1:16" ht="24" x14ac:dyDescent="0.25">
      <c r="A192" s="621"/>
      <c r="B192" s="632"/>
      <c r="C192" s="762"/>
      <c r="D192" s="763"/>
      <c r="E192" s="692"/>
      <c r="F192" s="382" t="s">
        <v>37</v>
      </c>
      <c r="G192" s="756"/>
      <c r="H192" s="793"/>
      <c r="I192" s="383" t="s">
        <v>19</v>
      </c>
      <c r="J192" s="100">
        <v>0</v>
      </c>
      <c r="K192" s="100">
        <v>0</v>
      </c>
      <c r="L192" s="100">
        <v>0</v>
      </c>
    </row>
    <row r="193" spans="1:12" ht="26.25" customHeight="1" x14ac:dyDescent="0.25">
      <c r="A193" s="621"/>
      <c r="B193" s="632"/>
      <c r="C193" s="762"/>
      <c r="D193" s="763"/>
      <c r="E193" s="692"/>
      <c r="F193" s="215" t="s">
        <v>36</v>
      </c>
      <c r="G193" s="756"/>
      <c r="H193" s="793"/>
      <c r="I193" s="383" t="s">
        <v>19</v>
      </c>
      <c r="J193" s="100">
        <v>0</v>
      </c>
      <c r="K193" s="100">
        <v>0</v>
      </c>
      <c r="L193" s="100">
        <v>0</v>
      </c>
    </row>
    <row r="194" spans="1:12" x14ac:dyDescent="0.25">
      <c r="A194" s="621"/>
      <c r="B194" s="632"/>
      <c r="C194" s="762"/>
      <c r="D194" s="763"/>
      <c r="E194" s="692"/>
      <c r="F194" s="384" t="s">
        <v>128</v>
      </c>
      <c r="G194" s="756"/>
      <c r="H194" s="793"/>
      <c r="I194" s="385" t="s">
        <v>19</v>
      </c>
      <c r="J194" s="23">
        <v>0</v>
      </c>
      <c r="K194" s="23">
        <v>0</v>
      </c>
      <c r="L194" s="23">
        <v>0</v>
      </c>
    </row>
    <row r="195" spans="1:12" ht="24" x14ac:dyDescent="0.25">
      <c r="A195" s="621"/>
      <c r="B195" s="632"/>
      <c r="C195" s="762"/>
      <c r="D195" s="763"/>
      <c r="E195" s="692"/>
      <c r="F195" s="382" t="s">
        <v>39</v>
      </c>
      <c r="G195" s="756"/>
      <c r="H195" s="793"/>
      <c r="I195" s="318" t="s">
        <v>19</v>
      </c>
      <c r="J195" s="386">
        <v>0</v>
      </c>
      <c r="K195" s="386">
        <v>0</v>
      </c>
      <c r="L195" s="386">
        <v>0</v>
      </c>
    </row>
    <row r="196" spans="1:12" ht="21.75" customHeight="1" x14ac:dyDescent="0.25">
      <c r="A196" s="621"/>
      <c r="B196" s="632"/>
      <c r="C196" s="762"/>
      <c r="D196" s="763"/>
      <c r="E196" s="692"/>
      <c r="F196" s="851" t="s">
        <v>45</v>
      </c>
      <c r="G196" s="756"/>
      <c r="H196" s="793"/>
      <c r="I196" s="306" t="s">
        <v>19</v>
      </c>
      <c r="J196" s="188">
        <v>0</v>
      </c>
      <c r="K196" s="188">
        <v>0</v>
      </c>
      <c r="L196" s="188">
        <v>0</v>
      </c>
    </row>
    <row r="197" spans="1:12" ht="19.2" customHeight="1" thickBot="1" x14ac:dyDescent="0.3">
      <c r="A197" s="621"/>
      <c r="B197" s="632"/>
      <c r="C197" s="762"/>
      <c r="D197" s="763"/>
      <c r="E197" s="692"/>
      <c r="F197" s="852"/>
      <c r="G197" s="756"/>
      <c r="H197" s="793"/>
      <c r="I197" s="387" t="s">
        <v>60</v>
      </c>
      <c r="J197" s="366">
        <f>8.3</f>
        <v>8.3000000000000007</v>
      </c>
      <c r="K197" s="366">
        <f>8.3</f>
        <v>8.3000000000000007</v>
      </c>
      <c r="L197" s="366">
        <f>8.3</f>
        <v>8.3000000000000007</v>
      </c>
    </row>
    <row r="198" spans="1:12" ht="12.6" thickBot="1" x14ac:dyDescent="0.3">
      <c r="A198" s="621"/>
      <c r="B198" s="632"/>
      <c r="C198" s="762"/>
      <c r="D198" s="763"/>
      <c r="E198" s="692"/>
      <c r="F198" s="316" t="s">
        <v>43</v>
      </c>
      <c r="G198" s="756"/>
      <c r="H198" s="793"/>
      <c r="I198" s="317" t="s">
        <v>19</v>
      </c>
      <c r="J198" s="23">
        <v>0</v>
      </c>
      <c r="K198" s="23">
        <v>0</v>
      </c>
      <c r="L198" s="23">
        <v>0</v>
      </c>
    </row>
    <row r="199" spans="1:12" ht="21" customHeight="1" x14ac:dyDescent="0.25">
      <c r="A199" s="621"/>
      <c r="B199" s="632"/>
      <c r="C199" s="762"/>
      <c r="D199" s="763"/>
      <c r="E199" s="692"/>
      <c r="F199" s="860" t="s">
        <v>48</v>
      </c>
      <c r="G199" s="756"/>
      <c r="H199" s="793"/>
      <c r="I199" s="306" t="s">
        <v>19</v>
      </c>
      <c r="J199" s="188">
        <v>0</v>
      </c>
      <c r="K199" s="188">
        <v>0</v>
      </c>
      <c r="L199" s="188">
        <v>0</v>
      </c>
    </row>
    <row r="200" spans="1:12" ht="20.399999999999999" customHeight="1" thickBot="1" x14ac:dyDescent="0.3">
      <c r="A200" s="621"/>
      <c r="B200" s="632"/>
      <c r="C200" s="762"/>
      <c r="D200" s="763"/>
      <c r="E200" s="692"/>
      <c r="F200" s="861"/>
      <c r="G200" s="756"/>
      <c r="H200" s="793"/>
      <c r="I200" s="387" t="s">
        <v>60</v>
      </c>
      <c r="J200" s="11">
        <f>3</f>
        <v>3</v>
      </c>
      <c r="K200" s="11">
        <f>3</f>
        <v>3</v>
      </c>
      <c r="L200" s="11">
        <f>3</f>
        <v>3</v>
      </c>
    </row>
    <row r="201" spans="1:12" ht="26.25" customHeight="1" x14ac:dyDescent="0.25">
      <c r="A201" s="621"/>
      <c r="B201" s="632"/>
      <c r="C201" s="762"/>
      <c r="D201" s="763"/>
      <c r="E201" s="692"/>
      <c r="F201" s="223" t="s">
        <v>49</v>
      </c>
      <c r="G201" s="756"/>
      <c r="H201" s="793"/>
      <c r="I201" s="132" t="s">
        <v>19</v>
      </c>
      <c r="J201" s="100">
        <v>0</v>
      </c>
      <c r="K201" s="100">
        <v>0</v>
      </c>
      <c r="L201" s="100">
        <v>0</v>
      </c>
    </row>
    <row r="202" spans="1:12" ht="22.5" customHeight="1" x14ac:dyDescent="0.25">
      <c r="A202" s="621"/>
      <c r="B202" s="632"/>
      <c r="C202" s="762"/>
      <c r="D202" s="763"/>
      <c r="E202" s="692"/>
      <c r="F202" s="382" t="s">
        <v>50</v>
      </c>
      <c r="G202" s="756"/>
      <c r="H202" s="793"/>
      <c r="I202" s="383" t="s">
        <v>19</v>
      </c>
      <c r="J202" s="100">
        <v>0</v>
      </c>
      <c r="K202" s="100">
        <v>0</v>
      </c>
      <c r="L202" s="100">
        <v>0</v>
      </c>
    </row>
    <row r="203" spans="1:12" ht="24.75" customHeight="1" x14ac:dyDescent="0.25">
      <c r="A203" s="621"/>
      <c r="B203" s="632"/>
      <c r="C203" s="762"/>
      <c r="D203" s="763"/>
      <c r="E203" s="692"/>
      <c r="F203" s="382" t="s">
        <v>51</v>
      </c>
      <c r="G203" s="756"/>
      <c r="H203" s="793"/>
      <c r="I203" s="383" t="s">
        <v>19</v>
      </c>
      <c r="J203" s="100">
        <v>0</v>
      </c>
      <c r="K203" s="100">
        <v>0</v>
      </c>
      <c r="L203" s="100">
        <v>0</v>
      </c>
    </row>
    <row r="204" spans="1:12" ht="27" customHeight="1" x14ac:dyDescent="0.25">
      <c r="A204" s="621"/>
      <c r="B204" s="632"/>
      <c r="C204" s="762"/>
      <c r="D204" s="763"/>
      <c r="E204" s="692"/>
      <c r="F204" s="382" t="s">
        <v>52</v>
      </c>
      <c r="G204" s="756"/>
      <c r="H204" s="793"/>
      <c r="I204" s="383" t="s">
        <v>19</v>
      </c>
      <c r="J204" s="100">
        <v>0</v>
      </c>
      <c r="K204" s="100">
        <v>0</v>
      </c>
      <c r="L204" s="100">
        <v>0</v>
      </c>
    </row>
    <row r="205" spans="1:12" ht="21.75" customHeight="1" x14ac:dyDescent="0.25">
      <c r="A205" s="621"/>
      <c r="B205" s="632"/>
      <c r="C205" s="762"/>
      <c r="D205" s="763"/>
      <c r="E205" s="692"/>
      <c r="F205" s="382" t="s">
        <v>53</v>
      </c>
      <c r="G205" s="756"/>
      <c r="H205" s="793"/>
      <c r="I205" s="383" t="s">
        <v>19</v>
      </c>
      <c r="J205" s="100">
        <v>0</v>
      </c>
      <c r="K205" s="100">
        <v>0</v>
      </c>
      <c r="L205" s="100">
        <v>0</v>
      </c>
    </row>
    <row r="206" spans="1:12" ht="17.25" customHeight="1" x14ac:dyDescent="0.25">
      <c r="A206" s="621"/>
      <c r="B206" s="632"/>
      <c r="C206" s="762"/>
      <c r="D206" s="763"/>
      <c r="E206" s="692"/>
      <c r="F206" s="794" t="s">
        <v>46</v>
      </c>
      <c r="G206" s="756"/>
      <c r="H206" s="793"/>
      <c r="I206" s="385" t="s">
        <v>19</v>
      </c>
      <c r="J206" s="100">
        <v>0</v>
      </c>
      <c r="K206" s="100">
        <v>0</v>
      </c>
      <c r="L206" s="100">
        <v>0</v>
      </c>
    </row>
    <row r="207" spans="1:12" ht="16.5" customHeight="1" thickBot="1" x14ac:dyDescent="0.3">
      <c r="A207" s="621"/>
      <c r="B207" s="632"/>
      <c r="C207" s="762"/>
      <c r="D207" s="763"/>
      <c r="E207" s="792"/>
      <c r="F207" s="795"/>
      <c r="G207" s="757"/>
      <c r="H207" s="793"/>
      <c r="I207" s="122" t="s">
        <v>20</v>
      </c>
      <c r="J207" s="96">
        <f>SUM(J186:J206)</f>
        <v>246.9</v>
      </c>
      <c r="K207" s="96">
        <f>SUM(K186:K206)</f>
        <v>246.9</v>
      </c>
      <c r="L207" s="96">
        <f>SUM(L186:L206)</f>
        <v>246.9</v>
      </c>
    </row>
    <row r="208" spans="1:12" ht="25.2" customHeight="1" x14ac:dyDescent="0.25">
      <c r="A208" s="549" t="s">
        <v>15</v>
      </c>
      <c r="B208" s="516" t="s">
        <v>21</v>
      </c>
      <c r="C208" s="614" t="s">
        <v>24</v>
      </c>
      <c r="D208" s="809" t="s">
        <v>129</v>
      </c>
      <c r="E208" s="619" t="s">
        <v>106</v>
      </c>
      <c r="F208" s="483" t="s">
        <v>17</v>
      </c>
      <c r="G208" s="812" t="s">
        <v>67</v>
      </c>
      <c r="H208" s="618" t="s">
        <v>107</v>
      </c>
      <c r="I208" s="332" t="s">
        <v>19</v>
      </c>
      <c r="J208" s="194">
        <f>70355/1000</f>
        <v>70.355000000000004</v>
      </c>
      <c r="K208" s="194">
        <v>0</v>
      </c>
      <c r="L208" s="194">
        <v>0</v>
      </c>
    </row>
    <row r="209" spans="1:18" ht="20.399999999999999" customHeight="1" x14ac:dyDescent="0.25">
      <c r="A209" s="638"/>
      <c r="B209" s="515"/>
      <c r="C209" s="630"/>
      <c r="D209" s="810"/>
      <c r="E209" s="619"/>
      <c r="F209" s="831"/>
      <c r="G209" s="813"/>
      <c r="H209" s="619"/>
      <c r="I209" s="388" t="s">
        <v>69</v>
      </c>
      <c r="J209" s="371">
        <v>1044.8800000000001</v>
      </c>
      <c r="K209" s="371">
        <f>23593.86/1000</f>
        <v>23.593859999999999</v>
      </c>
      <c r="L209" s="371">
        <v>0</v>
      </c>
    </row>
    <row r="210" spans="1:18" ht="22.95" customHeight="1" x14ac:dyDescent="0.25">
      <c r="A210" s="638"/>
      <c r="B210" s="515"/>
      <c r="C210" s="630"/>
      <c r="D210" s="810"/>
      <c r="E210" s="619"/>
      <c r="F210" s="487" t="s">
        <v>43</v>
      </c>
      <c r="G210" s="813"/>
      <c r="H210" s="619"/>
      <c r="I210" s="388" t="s">
        <v>19</v>
      </c>
      <c r="J210" s="371">
        <f>58390/1000</f>
        <v>58.39</v>
      </c>
      <c r="K210" s="371">
        <v>0</v>
      </c>
      <c r="L210" s="371">
        <v>0</v>
      </c>
    </row>
    <row r="211" spans="1:18" ht="22.95" customHeight="1" thickBot="1" x14ac:dyDescent="0.3">
      <c r="A211" s="638"/>
      <c r="B211" s="515"/>
      <c r="C211" s="630"/>
      <c r="D211" s="810"/>
      <c r="E211" s="619"/>
      <c r="F211" s="483"/>
      <c r="G211" s="813"/>
      <c r="H211" s="619"/>
      <c r="I211" s="389" t="s">
        <v>69</v>
      </c>
      <c r="J211" s="354">
        <v>8.1479999999999997</v>
      </c>
      <c r="K211" s="354">
        <v>0</v>
      </c>
      <c r="L211" s="354">
        <v>0</v>
      </c>
    </row>
    <row r="212" spans="1:18" ht="21" customHeight="1" thickBot="1" x14ac:dyDescent="0.3">
      <c r="A212" s="639"/>
      <c r="B212" s="629"/>
      <c r="C212" s="615"/>
      <c r="D212" s="811"/>
      <c r="E212" s="761"/>
      <c r="F212" s="832"/>
      <c r="G212" s="814"/>
      <c r="H212" s="761"/>
      <c r="I212" s="311" t="s">
        <v>20</v>
      </c>
      <c r="J212" s="21">
        <f>SUM(J208:J211)</f>
        <v>1181.7730000000001</v>
      </c>
      <c r="K212" s="21">
        <f>SUM(K208:K211)</f>
        <v>23.593859999999999</v>
      </c>
      <c r="L212" s="21">
        <f>SUM(L208:L211)</f>
        <v>0</v>
      </c>
    </row>
    <row r="213" spans="1:18" ht="15.75" customHeight="1" thickBot="1" x14ac:dyDescent="0.3">
      <c r="A213" s="65" t="s">
        <v>15</v>
      </c>
      <c r="B213" s="66" t="s">
        <v>21</v>
      </c>
      <c r="C213" s="69"/>
      <c r="D213" s="70"/>
      <c r="E213" s="70"/>
      <c r="F213" s="70"/>
      <c r="G213" s="70"/>
      <c r="H213" s="70"/>
      <c r="I213" s="134" t="s">
        <v>58</v>
      </c>
      <c r="J213" s="135">
        <f>J181+J185+J207+J212</f>
        <v>2824.6000000000004</v>
      </c>
      <c r="K213" s="135">
        <f>K181+K185+K207+K212</f>
        <v>1667.3958600000001</v>
      </c>
      <c r="L213" s="135">
        <f>L181+L185+L207+L212</f>
        <v>1644.8020000000001</v>
      </c>
    </row>
    <row r="214" spans="1:18" ht="15.75" customHeight="1" thickBot="1" x14ac:dyDescent="0.3">
      <c r="A214" s="71" t="s">
        <v>15</v>
      </c>
      <c r="B214" s="72" t="s">
        <v>22</v>
      </c>
      <c r="C214" s="73" t="s">
        <v>130</v>
      </c>
      <c r="D214" s="74"/>
      <c r="E214" s="74"/>
      <c r="F214" s="74"/>
      <c r="G214" s="74"/>
      <c r="H214" s="74"/>
      <c r="I214" s="136"/>
      <c r="J214" s="137"/>
      <c r="K214" s="138"/>
      <c r="L214" s="139"/>
    </row>
    <row r="215" spans="1:18" ht="24" customHeight="1" thickBot="1" x14ac:dyDescent="0.3">
      <c r="A215" s="526" t="s">
        <v>15</v>
      </c>
      <c r="B215" s="516" t="s">
        <v>22</v>
      </c>
      <c r="C215" s="531" t="s">
        <v>15</v>
      </c>
      <c r="D215" s="781" t="s">
        <v>131</v>
      </c>
      <c r="E215" s="783" t="s">
        <v>16</v>
      </c>
      <c r="F215" s="786" t="s">
        <v>42</v>
      </c>
      <c r="G215" s="789" t="s">
        <v>68</v>
      </c>
      <c r="H215" s="840" t="s">
        <v>132</v>
      </c>
      <c r="I215" s="156" t="s">
        <v>19</v>
      </c>
      <c r="J215" s="107">
        <f>33189/1000</f>
        <v>33.189</v>
      </c>
      <c r="K215" s="107">
        <f t="shared" ref="K215:L215" si="13">33189/1000</f>
        <v>33.189</v>
      </c>
      <c r="L215" s="298">
        <f t="shared" si="13"/>
        <v>33.189</v>
      </c>
    </row>
    <row r="216" spans="1:18" ht="23.25" customHeight="1" thickBot="1" x14ac:dyDescent="0.3">
      <c r="A216" s="527"/>
      <c r="B216" s="515"/>
      <c r="C216" s="532"/>
      <c r="D216" s="536"/>
      <c r="E216" s="784"/>
      <c r="F216" s="787"/>
      <c r="G216" s="790"/>
      <c r="H216" s="784"/>
      <c r="I216" s="212" t="s">
        <v>60</v>
      </c>
      <c r="J216" s="213">
        <f>7.466</f>
        <v>7.4660000000000002</v>
      </c>
      <c r="K216" s="213">
        <f t="shared" ref="K216:L216" si="14">7.466</f>
        <v>7.4660000000000002</v>
      </c>
      <c r="L216" s="22">
        <f t="shared" si="14"/>
        <v>7.4660000000000002</v>
      </c>
    </row>
    <row r="217" spans="1:18" ht="16.5" customHeight="1" thickBot="1" x14ac:dyDescent="0.3">
      <c r="A217" s="528"/>
      <c r="B217" s="629"/>
      <c r="C217" s="780"/>
      <c r="D217" s="782"/>
      <c r="E217" s="785"/>
      <c r="F217" s="788"/>
      <c r="G217" s="791"/>
      <c r="H217" s="841"/>
      <c r="I217" s="133" t="s">
        <v>20</v>
      </c>
      <c r="J217" s="115">
        <f>J215+J216</f>
        <v>40.655000000000001</v>
      </c>
      <c r="K217" s="115">
        <f>K215</f>
        <v>33.189</v>
      </c>
      <c r="L217" s="115">
        <f>L215</f>
        <v>33.189</v>
      </c>
    </row>
    <row r="218" spans="1:18" ht="14.25" customHeight="1" x14ac:dyDescent="0.25">
      <c r="A218" s="65" t="s">
        <v>15</v>
      </c>
      <c r="B218" s="66" t="s">
        <v>22</v>
      </c>
      <c r="C218" s="69"/>
      <c r="D218" s="70"/>
      <c r="E218" s="70"/>
      <c r="F218" s="70"/>
      <c r="G218" s="70"/>
      <c r="H218" s="70"/>
      <c r="I218" s="140" t="s">
        <v>58</v>
      </c>
      <c r="J218" s="141">
        <f>J217</f>
        <v>40.655000000000001</v>
      </c>
      <c r="K218" s="141">
        <f t="shared" ref="K218:L218" si="15">K217</f>
        <v>33.189</v>
      </c>
      <c r="L218" s="141">
        <f t="shared" si="15"/>
        <v>33.189</v>
      </c>
      <c r="R218" s="15"/>
    </row>
    <row r="219" spans="1:18" ht="14.25" customHeight="1" x14ac:dyDescent="0.25">
      <c r="A219" s="67" t="s">
        <v>15</v>
      </c>
      <c r="B219" s="68" t="s">
        <v>24</v>
      </c>
      <c r="C219" s="75" t="s">
        <v>133</v>
      </c>
      <c r="D219" s="1"/>
      <c r="E219" s="1"/>
      <c r="F219" s="1"/>
      <c r="G219" s="1"/>
      <c r="H219" s="1"/>
      <c r="I219" s="142"/>
      <c r="J219" s="137"/>
      <c r="K219" s="138"/>
      <c r="L219" s="139"/>
    </row>
    <row r="220" spans="1:18" ht="24.6" customHeight="1" x14ac:dyDescent="0.25">
      <c r="A220" s="620" t="s">
        <v>15</v>
      </c>
      <c r="B220" s="636" t="s">
        <v>24</v>
      </c>
      <c r="C220" s="627" t="s">
        <v>15</v>
      </c>
      <c r="D220" s="488" t="s">
        <v>134</v>
      </c>
      <c r="E220" s="640" t="s">
        <v>16</v>
      </c>
      <c r="F220" s="480" t="s">
        <v>17</v>
      </c>
      <c r="G220" s="644" t="s">
        <v>64</v>
      </c>
      <c r="H220" s="835" t="s">
        <v>18</v>
      </c>
      <c r="I220" s="143" t="s">
        <v>19</v>
      </c>
      <c r="J220" s="144">
        <f>30000/1000</f>
        <v>30</v>
      </c>
      <c r="K220" s="144">
        <f t="shared" ref="K220:L220" si="16">30000/1000</f>
        <v>30</v>
      </c>
      <c r="L220" s="144">
        <f t="shared" si="16"/>
        <v>30</v>
      </c>
    </row>
    <row r="221" spans="1:18" ht="26.4" customHeight="1" x14ac:dyDescent="0.25">
      <c r="A221" s="624"/>
      <c r="B221" s="637"/>
      <c r="C221" s="628"/>
      <c r="D221" s="489"/>
      <c r="E221" s="641"/>
      <c r="F221" s="482"/>
      <c r="G221" s="645"/>
      <c r="H221" s="643"/>
      <c r="I221" s="145" t="s">
        <v>20</v>
      </c>
      <c r="J221" s="146">
        <f>SUM(J220)</f>
        <v>30</v>
      </c>
      <c r="K221" s="147">
        <f t="shared" ref="K221:L221" si="17">SUM(K220)</f>
        <v>30</v>
      </c>
      <c r="L221" s="103">
        <f t="shared" si="17"/>
        <v>30</v>
      </c>
      <c r="P221" s="15"/>
    </row>
    <row r="222" spans="1:18" x14ac:dyDescent="0.25">
      <c r="A222" s="29" t="s">
        <v>15</v>
      </c>
      <c r="B222" s="30" t="s">
        <v>24</v>
      </c>
      <c r="C222" s="600" t="s">
        <v>58</v>
      </c>
      <c r="D222" s="601"/>
      <c r="E222" s="601"/>
      <c r="F222" s="601"/>
      <c r="G222" s="601"/>
      <c r="H222" s="601"/>
      <c r="I222" s="602"/>
      <c r="J222" s="76">
        <f>J221</f>
        <v>30</v>
      </c>
      <c r="K222" s="77">
        <f t="shared" ref="K222:L222" si="18">K221</f>
        <v>30</v>
      </c>
      <c r="L222" s="78">
        <f t="shared" si="18"/>
        <v>30</v>
      </c>
      <c r="M222" s="15"/>
    </row>
    <row r="223" spans="1:18" x14ac:dyDescent="0.25">
      <c r="A223" s="29" t="s">
        <v>15</v>
      </c>
      <c r="B223" s="24"/>
      <c r="C223" s="25"/>
      <c r="D223" s="25"/>
      <c r="E223" s="25"/>
      <c r="F223" s="25"/>
      <c r="G223" s="25"/>
      <c r="H223" s="25"/>
      <c r="I223" s="79" t="s">
        <v>59</v>
      </c>
      <c r="J223" s="80">
        <f>J172+J213+J218+J222</f>
        <v>26316.802000000003</v>
      </c>
      <c r="K223" s="81">
        <f>K172+K213+K218+K222</f>
        <v>25139.52619</v>
      </c>
      <c r="L223" s="82">
        <f>L172+L213+L218+L222</f>
        <v>23929.59708</v>
      </c>
    </row>
    <row r="224" spans="1:18" ht="15.75" customHeight="1" thickBot="1" x14ac:dyDescent="0.3">
      <c r="A224" s="83" t="s">
        <v>21</v>
      </c>
      <c r="B224" s="796" t="s">
        <v>135</v>
      </c>
      <c r="C224" s="797"/>
      <c r="D224" s="797"/>
      <c r="E224" s="797"/>
      <c r="F224" s="797"/>
      <c r="G224" s="797"/>
      <c r="H224" s="797"/>
      <c r="I224" s="797"/>
      <c r="J224" s="797"/>
      <c r="K224" s="797"/>
      <c r="L224" s="798"/>
    </row>
    <row r="225" spans="1:12" ht="12.6" thickBot="1" x14ac:dyDescent="0.3">
      <c r="A225" s="67" t="s">
        <v>21</v>
      </c>
      <c r="B225" s="84" t="s">
        <v>15</v>
      </c>
      <c r="C225" s="608" t="s">
        <v>136</v>
      </c>
      <c r="D225" s="609"/>
      <c r="E225" s="609"/>
      <c r="F225" s="609"/>
      <c r="G225" s="609"/>
      <c r="H225" s="609"/>
      <c r="I225" s="609"/>
      <c r="J225" s="609"/>
      <c r="K225" s="609"/>
      <c r="L225" s="610"/>
    </row>
    <row r="226" spans="1:12" ht="15.75" customHeight="1" x14ac:dyDescent="0.25">
      <c r="A226" s="620" t="s">
        <v>21</v>
      </c>
      <c r="B226" s="634" t="s">
        <v>15</v>
      </c>
      <c r="C226" s="684" t="s">
        <v>15</v>
      </c>
      <c r="D226" s="693" t="s">
        <v>137</v>
      </c>
      <c r="E226" s="692" t="s">
        <v>16</v>
      </c>
      <c r="F226" s="450" t="s">
        <v>138</v>
      </c>
      <c r="G226" s="685" t="s">
        <v>26</v>
      </c>
      <c r="H226" s="722" t="s">
        <v>18</v>
      </c>
      <c r="I226" s="427" t="s">
        <v>19</v>
      </c>
      <c r="J226" s="428">
        <f>552211/1000</f>
        <v>552.21100000000001</v>
      </c>
      <c r="K226" s="428">
        <f t="shared" ref="K226:L226" si="19">552211/1000</f>
        <v>552.21100000000001</v>
      </c>
      <c r="L226" s="429">
        <f t="shared" si="19"/>
        <v>552.21100000000001</v>
      </c>
    </row>
    <row r="227" spans="1:12" ht="17.25" customHeight="1" x14ac:dyDescent="0.25">
      <c r="A227" s="621"/>
      <c r="B227" s="635"/>
      <c r="C227" s="684"/>
      <c r="D227" s="693"/>
      <c r="E227" s="692"/>
      <c r="F227" s="453"/>
      <c r="G227" s="685"/>
      <c r="H227" s="723"/>
      <c r="I227" s="253" t="s">
        <v>60</v>
      </c>
      <c r="J227" s="149">
        <f>34.9</f>
        <v>34.9</v>
      </c>
      <c r="K227" s="149">
        <f t="shared" ref="K227:L227" si="20">34.9</f>
        <v>34.9</v>
      </c>
      <c r="L227" s="430">
        <f t="shared" si="20"/>
        <v>34.9</v>
      </c>
    </row>
    <row r="228" spans="1:12" ht="24.75" customHeight="1" x14ac:dyDescent="0.25">
      <c r="A228" s="621"/>
      <c r="B228" s="635"/>
      <c r="C228" s="684"/>
      <c r="D228" s="693"/>
      <c r="E228" s="692"/>
      <c r="F228" s="178" t="s">
        <v>47</v>
      </c>
      <c r="G228" s="685"/>
      <c r="H228" s="723"/>
      <c r="I228" s="254" t="s">
        <v>19</v>
      </c>
      <c r="J228" s="149">
        <f>172837/1000</f>
        <v>172.83699999999999</v>
      </c>
      <c r="K228" s="149">
        <f t="shared" ref="K228:L228" si="21">172837/1000</f>
        <v>172.83699999999999</v>
      </c>
      <c r="L228" s="430">
        <f t="shared" si="21"/>
        <v>172.83699999999999</v>
      </c>
    </row>
    <row r="229" spans="1:12" x14ac:dyDescent="0.25">
      <c r="A229" s="621"/>
      <c r="B229" s="635"/>
      <c r="C229" s="684"/>
      <c r="D229" s="693"/>
      <c r="E229" s="692"/>
      <c r="F229" s="694" t="s">
        <v>48</v>
      </c>
      <c r="G229" s="685"/>
      <c r="H229" s="723"/>
      <c r="I229" s="255" t="s">
        <v>19</v>
      </c>
      <c r="J229" s="149">
        <f>(718552/1000)+3.266</f>
        <v>721.81799999999998</v>
      </c>
      <c r="K229" s="149">
        <f t="shared" ref="K229:L229" si="22">(718552/1000)+3.266</f>
        <v>721.81799999999998</v>
      </c>
      <c r="L229" s="430">
        <f t="shared" si="22"/>
        <v>721.81799999999998</v>
      </c>
    </row>
    <row r="230" spans="1:12" x14ac:dyDescent="0.25">
      <c r="A230" s="621"/>
      <c r="B230" s="635"/>
      <c r="C230" s="684"/>
      <c r="D230" s="693"/>
      <c r="E230" s="692"/>
      <c r="F230" s="695"/>
      <c r="G230" s="685"/>
      <c r="H230" s="723"/>
      <c r="I230" s="255" t="s">
        <v>23</v>
      </c>
      <c r="J230" s="149">
        <v>2.3E-2</v>
      </c>
      <c r="K230" s="149"/>
      <c r="L230" s="430"/>
    </row>
    <row r="231" spans="1:12" ht="22.5" customHeight="1" x14ac:dyDescent="0.25">
      <c r="A231" s="621"/>
      <c r="B231" s="635"/>
      <c r="C231" s="684"/>
      <c r="D231" s="693"/>
      <c r="E231" s="692"/>
      <c r="F231" s="179" t="s">
        <v>49</v>
      </c>
      <c r="G231" s="685"/>
      <c r="H231" s="723"/>
      <c r="I231" s="255" t="s">
        <v>19</v>
      </c>
      <c r="J231" s="149">
        <f>161519/1000</f>
        <v>161.51900000000001</v>
      </c>
      <c r="K231" s="149">
        <f t="shared" ref="K231:L231" si="23">161519/1000</f>
        <v>161.51900000000001</v>
      </c>
      <c r="L231" s="430">
        <f t="shared" si="23"/>
        <v>161.51900000000001</v>
      </c>
    </row>
    <row r="232" spans="1:12" ht="22.5" customHeight="1" x14ac:dyDescent="0.25">
      <c r="A232" s="621"/>
      <c r="B232" s="635"/>
      <c r="C232" s="684"/>
      <c r="D232" s="693"/>
      <c r="E232" s="692"/>
      <c r="F232" s="178" t="s">
        <v>50</v>
      </c>
      <c r="G232" s="685"/>
      <c r="H232" s="723"/>
      <c r="I232" s="255" t="s">
        <v>19</v>
      </c>
      <c r="J232" s="149">
        <f>103143/1000</f>
        <v>103.143</v>
      </c>
      <c r="K232" s="149">
        <f t="shared" ref="K232:L232" si="24">103143/1000</f>
        <v>103.143</v>
      </c>
      <c r="L232" s="430">
        <f t="shared" si="24"/>
        <v>103.143</v>
      </c>
    </row>
    <row r="233" spans="1:12" ht="22.5" customHeight="1" x14ac:dyDescent="0.25">
      <c r="A233" s="621"/>
      <c r="B233" s="635"/>
      <c r="C233" s="684"/>
      <c r="D233" s="693"/>
      <c r="E233" s="692"/>
      <c r="F233" s="178" t="s">
        <v>51</v>
      </c>
      <c r="G233" s="685"/>
      <c r="H233" s="723"/>
      <c r="I233" s="255" t="s">
        <v>19</v>
      </c>
      <c r="J233" s="149">
        <f>(186985/1000)+1.261</f>
        <v>188.24600000000001</v>
      </c>
      <c r="K233" s="149">
        <f t="shared" ref="K233:L233" si="25">(186985/1000)+1.261</f>
        <v>188.24600000000001</v>
      </c>
      <c r="L233" s="430">
        <f t="shared" si="25"/>
        <v>188.24600000000001</v>
      </c>
    </row>
    <row r="234" spans="1:12" x14ac:dyDescent="0.25">
      <c r="A234" s="621"/>
      <c r="B234" s="635"/>
      <c r="C234" s="684"/>
      <c r="D234" s="693"/>
      <c r="E234" s="692"/>
      <c r="F234" s="180" t="s">
        <v>52</v>
      </c>
      <c r="G234" s="685"/>
      <c r="H234" s="723"/>
      <c r="I234" s="255" t="s">
        <v>19</v>
      </c>
      <c r="J234" s="149">
        <f>135784/1000</f>
        <v>135.78399999999999</v>
      </c>
      <c r="K234" s="149">
        <f t="shared" ref="K234:L234" si="26">135784/1000</f>
        <v>135.78399999999999</v>
      </c>
      <c r="L234" s="430">
        <f t="shared" si="26"/>
        <v>135.78399999999999</v>
      </c>
    </row>
    <row r="235" spans="1:12" ht="20.25" customHeight="1" thickBot="1" x14ac:dyDescent="0.3">
      <c r="A235" s="621"/>
      <c r="B235" s="635"/>
      <c r="C235" s="684"/>
      <c r="D235" s="693"/>
      <c r="E235" s="692"/>
      <c r="F235" s="452" t="s">
        <v>53</v>
      </c>
      <c r="G235" s="685"/>
      <c r="H235" s="723"/>
      <c r="I235" s="256" t="s">
        <v>19</v>
      </c>
      <c r="J235" s="257">
        <f>240579/1000</f>
        <v>240.57900000000001</v>
      </c>
      <c r="K235" s="257">
        <f t="shared" ref="K235:L235" si="27">240579/1000</f>
        <v>240.57900000000001</v>
      </c>
      <c r="L235" s="426">
        <f t="shared" si="27"/>
        <v>240.57900000000001</v>
      </c>
    </row>
    <row r="236" spans="1:12" ht="12.75" customHeight="1" thickBot="1" x14ac:dyDescent="0.3">
      <c r="A236" s="621"/>
      <c r="B236" s="635"/>
      <c r="C236" s="684"/>
      <c r="D236" s="693"/>
      <c r="E236" s="692"/>
      <c r="F236" s="450"/>
      <c r="G236" s="686"/>
      <c r="H236" s="724"/>
      <c r="I236" s="150" t="s">
        <v>20</v>
      </c>
      <c r="J236" s="104">
        <f>SUM(J226:J235)</f>
        <v>2311.0600000000004</v>
      </c>
      <c r="K236" s="104">
        <f>SUM(K226:K235)</f>
        <v>2311.0370000000003</v>
      </c>
      <c r="L236" s="19">
        <f>SUM(L226:L235)</f>
        <v>2311.0370000000003</v>
      </c>
    </row>
    <row r="237" spans="1:12" ht="39.75" hidden="1" customHeight="1" x14ac:dyDescent="0.25">
      <c r="A237" s="86" t="s">
        <v>21</v>
      </c>
      <c r="B237" s="87" t="s">
        <v>15</v>
      </c>
      <c r="C237" s="727" t="s">
        <v>21</v>
      </c>
      <c r="D237" s="801" t="s">
        <v>139</v>
      </c>
      <c r="E237" s="682" t="s">
        <v>66</v>
      </c>
      <c r="F237" s="181" t="s">
        <v>138</v>
      </c>
      <c r="G237" s="687" t="s">
        <v>26</v>
      </c>
      <c r="H237" s="725" t="s">
        <v>140</v>
      </c>
      <c r="I237" s="116" t="s">
        <v>19</v>
      </c>
      <c r="J237" s="151"/>
      <c r="K237" s="152"/>
      <c r="L237" s="153"/>
    </row>
    <row r="238" spans="1:12" ht="27" hidden="1" customHeight="1" x14ac:dyDescent="0.25">
      <c r="A238" s="61"/>
      <c r="B238" s="70"/>
      <c r="C238" s="728"/>
      <c r="D238" s="802"/>
      <c r="E238" s="683"/>
      <c r="F238" s="178" t="s">
        <v>47</v>
      </c>
      <c r="G238" s="688"/>
      <c r="H238" s="725"/>
      <c r="I238" s="116" t="s">
        <v>19</v>
      </c>
      <c r="J238" s="151"/>
      <c r="K238" s="152"/>
      <c r="L238" s="154"/>
    </row>
    <row r="239" spans="1:12" ht="25.5" hidden="1" customHeight="1" x14ac:dyDescent="0.25">
      <c r="A239" s="61"/>
      <c r="B239" s="70"/>
      <c r="C239" s="728"/>
      <c r="D239" s="802"/>
      <c r="E239" s="683"/>
      <c r="F239" s="178" t="s">
        <v>48</v>
      </c>
      <c r="G239" s="688"/>
      <c r="H239" s="725"/>
      <c r="I239" s="116" t="s">
        <v>19</v>
      </c>
      <c r="J239" s="151"/>
      <c r="K239" s="152"/>
      <c r="L239" s="154"/>
    </row>
    <row r="240" spans="1:12" ht="24.75" hidden="1" customHeight="1" x14ac:dyDescent="0.25">
      <c r="A240" s="61"/>
      <c r="B240" s="70"/>
      <c r="C240" s="728"/>
      <c r="D240" s="802"/>
      <c r="E240" s="683"/>
      <c r="F240" s="179" t="s">
        <v>49</v>
      </c>
      <c r="G240" s="688"/>
      <c r="H240" s="725"/>
      <c r="I240" s="116" t="s">
        <v>19</v>
      </c>
      <c r="J240" s="151"/>
      <c r="K240" s="152"/>
      <c r="L240" s="154"/>
    </row>
    <row r="241" spans="1:12" hidden="1" x14ac:dyDescent="0.25">
      <c r="A241" s="61"/>
      <c r="B241" s="70"/>
      <c r="C241" s="728"/>
      <c r="D241" s="803"/>
      <c r="E241" s="683"/>
      <c r="F241" s="178" t="s">
        <v>50</v>
      </c>
      <c r="G241" s="688"/>
      <c r="H241" s="725"/>
      <c r="I241" s="116" t="s">
        <v>19</v>
      </c>
      <c r="J241" s="350"/>
      <c r="K241" s="152"/>
      <c r="L241" s="154"/>
    </row>
    <row r="242" spans="1:12" hidden="1" x14ac:dyDescent="0.25">
      <c r="A242" s="61"/>
      <c r="B242" s="70"/>
      <c r="C242" s="728"/>
      <c r="D242" s="803"/>
      <c r="E242" s="683"/>
      <c r="F242" s="178" t="s">
        <v>51</v>
      </c>
      <c r="G242" s="688"/>
      <c r="H242" s="725"/>
      <c r="I242" s="116" t="s">
        <v>19</v>
      </c>
      <c r="J242" s="151"/>
      <c r="K242" s="152"/>
      <c r="L242" s="154"/>
    </row>
    <row r="243" spans="1:12" hidden="1" x14ac:dyDescent="0.25">
      <c r="A243" s="61"/>
      <c r="B243" s="70"/>
      <c r="C243" s="728"/>
      <c r="D243" s="803"/>
      <c r="E243" s="683"/>
      <c r="F243" s="180" t="s">
        <v>52</v>
      </c>
      <c r="G243" s="688"/>
      <c r="H243" s="725"/>
      <c r="I243" s="116" t="s">
        <v>19</v>
      </c>
      <c r="J243" s="151"/>
      <c r="K243" s="152"/>
      <c r="L243" s="154"/>
    </row>
    <row r="244" spans="1:12" ht="15" hidden="1" customHeight="1" x14ac:dyDescent="0.25">
      <c r="A244" s="61"/>
      <c r="B244" s="70"/>
      <c r="C244" s="728"/>
      <c r="D244" s="803"/>
      <c r="E244" s="683"/>
      <c r="F244" s="452" t="s">
        <v>53</v>
      </c>
      <c r="G244" s="688"/>
      <c r="H244" s="725"/>
      <c r="I244" s="116" t="s">
        <v>19</v>
      </c>
      <c r="J244" s="351"/>
      <c r="K244" s="152"/>
      <c r="L244" s="155"/>
    </row>
    <row r="245" spans="1:12" hidden="1" x14ac:dyDescent="0.25">
      <c r="A245" s="61"/>
      <c r="B245" s="70"/>
      <c r="C245" s="728"/>
      <c r="D245" s="804"/>
      <c r="E245" s="683"/>
      <c r="F245" s="450"/>
      <c r="G245" s="688"/>
      <c r="H245" s="726"/>
      <c r="I245" s="232" t="s">
        <v>20</v>
      </c>
      <c r="J245" s="233">
        <f>SUM(J237:J244)</f>
        <v>0</v>
      </c>
      <c r="K245" s="234">
        <f>SUM(K237:K244)</f>
        <v>0</v>
      </c>
      <c r="L245" s="111">
        <f>SUM(L237:L244)</f>
        <v>0</v>
      </c>
    </row>
    <row r="246" spans="1:12" ht="12.6" thickBot="1" x14ac:dyDescent="0.3">
      <c r="A246" s="228" t="s">
        <v>21</v>
      </c>
      <c r="B246" s="110" t="s">
        <v>15</v>
      </c>
      <c r="C246" s="689" t="s">
        <v>58</v>
      </c>
      <c r="D246" s="690"/>
      <c r="E246" s="690"/>
      <c r="F246" s="690"/>
      <c r="G246" s="690"/>
      <c r="H246" s="690"/>
      <c r="I246" s="691"/>
      <c r="J246" s="229">
        <f>J236+J245</f>
        <v>2311.0600000000004</v>
      </c>
      <c r="K246" s="230">
        <f>K236+K245</f>
        <v>2311.0370000000003</v>
      </c>
      <c r="L246" s="231">
        <f>L236+L245</f>
        <v>2311.0370000000003</v>
      </c>
    </row>
    <row r="247" spans="1:12" ht="12.6" thickBot="1" x14ac:dyDescent="0.3">
      <c r="A247" s="65" t="s">
        <v>21</v>
      </c>
      <c r="B247" s="66" t="s">
        <v>21</v>
      </c>
      <c r="C247" s="235" t="s">
        <v>141</v>
      </c>
      <c r="D247" s="236"/>
      <c r="E247" s="236"/>
      <c r="F247" s="236"/>
      <c r="G247" s="236"/>
      <c r="H247" s="236"/>
      <c r="I247" s="236"/>
      <c r="J247" s="237"/>
      <c r="K247" s="236"/>
      <c r="L247" s="88"/>
    </row>
    <row r="248" spans="1:12" ht="23.25" customHeight="1" thickBot="1" x14ac:dyDescent="0.3">
      <c r="A248" s="526" t="s">
        <v>21</v>
      </c>
      <c r="B248" s="516" t="s">
        <v>21</v>
      </c>
      <c r="C248" s="614" t="s">
        <v>15</v>
      </c>
      <c r="D248" s="616" t="s">
        <v>142</v>
      </c>
      <c r="E248" s="618" t="s">
        <v>16</v>
      </c>
      <c r="F248" s="447" t="s">
        <v>17</v>
      </c>
      <c r="G248" s="650" t="s">
        <v>64</v>
      </c>
      <c r="H248" s="652" t="s">
        <v>143</v>
      </c>
      <c r="I248" s="156" t="s">
        <v>19</v>
      </c>
      <c r="J248" s="107">
        <f>38000/1000</f>
        <v>38</v>
      </c>
      <c r="K248" s="107">
        <f t="shared" ref="K248:L248" si="28">38000/1000</f>
        <v>38</v>
      </c>
      <c r="L248" s="22">
        <f t="shared" si="28"/>
        <v>38</v>
      </c>
    </row>
    <row r="249" spans="1:12" ht="19.5" customHeight="1" thickBot="1" x14ac:dyDescent="0.3">
      <c r="A249" s="528"/>
      <c r="B249" s="629"/>
      <c r="C249" s="615"/>
      <c r="D249" s="617"/>
      <c r="E249" s="619"/>
      <c r="F249" s="482"/>
      <c r="G249" s="651"/>
      <c r="H249" s="653"/>
      <c r="I249" s="207" t="s">
        <v>20</v>
      </c>
      <c r="J249" s="192">
        <f>SUM(J248)</f>
        <v>38</v>
      </c>
      <c r="K249" s="208">
        <f t="shared" ref="K249:L249" si="29">SUM(K248)</f>
        <v>38</v>
      </c>
      <c r="L249" s="193">
        <f t="shared" si="29"/>
        <v>38</v>
      </c>
    </row>
    <row r="250" spans="1:12" ht="26.25" customHeight="1" x14ac:dyDescent="0.25">
      <c r="A250" s="455" t="s">
        <v>21</v>
      </c>
      <c r="B250" s="457" t="s">
        <v>21</v>
      </c>
      <c r="C250" s="543" t="s">
        <v>21</v>
      </c>
      <c r="D250" s="512" t="s">
        <v>144</v>
      </c>
      <c r="E250" s="658" t="s">
        <v>66</v>
      </c>
      <c r="F250" s="206" t="s">
        <v>17</v>
      </c>
      <c r="G250" s="660" t="s">
        <v>67</v>
      </c>
      <c r="H250" s="656" t="s">
        <v>143</v>
      </c>
      <c r="I250" s="167" t="s">
        <v>19</v>
      </c>
      <c r="J250" s="31">
        <v>0</v>
      </c>
      <c r="K250" s="31">
        <v>0</v>
      </c>
      <c r="L250" s="31">
        <v>0</v>
      </c>
    </row>
    <row r="251" spans="1:12" ht="20.25" customHeight="1" x14ac:dyDescent="0.25">
      <c r="A251" s="456"/>
      <c r="B251" s="458"/>
      <c r="C251" s="568"/>
      <c r="D251" s="513"/>
      <c r="E251" s="659"/>
      <c r="F251" s="452" t="s">
        <v>53</v>
      </c>
      <c r="G251" s="661"/>
      <c r="H251" s="657"/>
      <c r="I251" s="390" t="s">
        <v>19</v>
      </c>
      <c r="J251" s="391">
        <f>73000/1000</f>
        <v>73</v>
      </c>
      <c r="K251" s="391">
        <v>0</v>
      </c>
      <c r="L251" s="391">
        <v>0</v>
      </c>
    </row>
    <row r="252" spans="1:12" ht="25.5" customHeight="1" thickBot="1" x14ac:dyDescent="0.3">
      <c r="A252" s="456"/>
      <c r="B252" s="458"/>
      <c r="C252" s="568"/>
      <c r="D252" s="513"/>
      <c r="E252" s="659"/>
      <c r="F252" s="450"/>
      <c r="G252" s="661"/>
      <c r="H252" s="657"/>
      <c r="I252" s="166" t="s">
        <v>20</v>
      </c>
      <c r="J252" s="96">
        <f>SUM(J250:J251)</f>
        <v>73</v>
      </c>
      <c r="K252" s="96">
        <f>SUM(K250:K250)</f>
        <v>0</v>
      </c>
      <c r="L252" s="216">
        <f>SUM(L250:L250)</f>
        <v>0</v>
      </c>
    </row>
    <row r="253" spans="1:12" ht="25.5" customHeight="1" thickBot="1" x14ac:dyDescent="0.3">
      <c r="A253" s="591" t="s">
        <v>21</v>
      </c>
      <c r="B253" s="665" t="s">
        <v>21</v>
      </c>
      <c r="C253" s="667" t="s">
        <v>22</v>
      </c>
      <c r="D253" s="670" t="s">
        <v>145</v>
      </c>
      <c r="E253" s="672" t="s">
        <v>66</v>
      </c>
      <c r="F253" s="477" t="s">
        <v>53</v>
      </c>
      <c r="G253" s="676" t="s">
        <v>68</v>
      </c>
      <c r="H253" s="679" t="s">
        <v>143</v>
      </c>
      <c r="I253" s="297" t="s">
        <v>19</v>
      </c>
      <c r="J253" s="432">
        <f>45000/1000</f>
        <v>45</v>
      </c>
      <c r="K253" s="433">
        <v>0</v>
      </c>
      <c r="L253" s="434">
        <v>0</v>
      </c>
    </row>
    <row r="254" spans="1:12" ht="25.5" customHeight="1" thickBot="1" x14ac:dyDescent="0.3">
      <c r="A254" s="654"/>
      <c r="B254" s="454"/>
      <c r="C254" s="668"/>
      <c r="D254" s="605"/>
      <c r="E254" s="673"/>
      <c r="F254" s="450"/>
      <c r="G254" s="677"/>
      <c r="H254" s="680"/>
      <c r="I254" s="297" t="s">
        <v>69</v>
      </c>
      <c r="J254" s="435">
        <f>148.247</f>
        <v>148.24700000000001</v>
      </c>
      <c r="K254" s="436">
        <v>0</v>
      </c>
      <c r="L254" s="437">
        <v>0</v>
      </c>
    </row>
    <row r="255" spans="1:12" ht="35.25" customHeight="1" thickBot="1" x14ac:dyDescent="0.3">
      <c r="A255" s="655"/>
      <c r="B255" s="666"/>
      <c r="C255" s="669"/>
      <c r="D255" s="671"/>
      <c r="E255" s="674"/>
      <c r="F255" s="675"/>
      <c r="G255" s="678"/>
      <c r="H255" s="681"/>
      <c r="I255" s="97" t="s">
        <v>20</v>
      </c>
      <c r="J255" s="104">
        <f>J253</f>
        <v>45</v>
      </c>
      <c r="K255" s="104">
        <f>SUM(K252:K252)</f>
        <v>0</v>
      </c>
      <c r="L255" s="431">
        <f>SUM(L252:L252)</f>
        <v>0</v>
      </c>
    </row>
    <row r="256" spans="1:12" ht="18" customHeight="1" thickBot="1" x14ac:dyDescent="0.3">
      <c r="A256" s="26" t="s">
        <v>21</v>
      </c>
      <c r="B256" s="27" t="s">
        <v>21</v>
      </c>
      <c r="C256" s="662" t="s">
        <v>58</v>
      </c>
      <c r="D256" s="663"/>
      <c r="E256" s="663"/>
      <c r="F256" s="663"/>
      <c r="G256" s="663"/>
      <c r="H256" s="663"/>
      <c r="I256" s="664"/>
      <c r="J256" s="157">
        <f>J249+J252+J255</f>
        <v>156</v>
      </c>
      <c r="K256" s="158">
        <f>K249+K252</f>
        <v>38</v>
      </c>
      <c r="L256" s="217">
        <f>L249+L252</f>
        <v>38</v>
      </c>
    </row>
    <row r="257" spans="1:17" ht="14.25" customHeight="1" x14ac:dyDescent="0.25">
      <c r="A257" s="67" t="s">
        <v>21</v>
      </c>
      <c r="B257" s="84" t="s">
        <v>22</v>
      </c>
      <c r="C257" s="85" t="s">
        <v>146</v>
      </c>
      <c r="D257" s="1"/>
      <c r="E257" s="1"/>
      <c r="F257" s="1"/>
      <c r="G257" s="1"/>
      <c r="H257" s="1"/>
      <c r="I257" s="240"/>
      <c r="J257" s="241"/>
      <c r="K257" s="242"/>
      <c r="L257" s="159"/>
    </row>
    <row r="258" spans="1:17" ht="16.5" customHeight="1" x14ac:dyDescent="0.25">
      <c r="A258" s="620" t="s">
        <v>21</v>
      </c>
      <c r="B258" s="634" t="s">
        <v>22</v>
      </c>
      <c r="C258" s="646" t="s">
        <v>15</v>
      </c>
      <c r="D258" s="648" t="s">
        <v>147</v>
      </c>
      <c r="E258" s="640" t="s">
        <v>16</v>
      </c>
      <c r="F258" s="480" t="s">
        <v>17</v>
      </c>
      <c r="G258" s="644" t="s">
        <v>64</v>
      </c>
      <c r="H258" s="642" t="s">
        <v>148</v>
      </c>
      <c r="I258" s="238" t="s">
        <v>19</v>
      </c>
      <c r="J258" s="239">
        <f>(110000/1000)-4.527</f>
        <v>105.473</v>
      </c>
      <c r="K258" s="438">
        <f t="shared" ref="K258:L258" si="30">(110000/1000)-4.258</f>
        <v>105.742</v>
      </c>
      <c r="L258" s="106">
        <f t="shared" si="30"/>
        <v>105.742</v>
      </c>
    </row>
    <row r="259" spans="1:17" ht="23.25" customHeight="1" x14ac:dyDescent="0.25">
      <c r="A259" s="624"/>
      <c r="B259" s="635"/>
      <c r="C259" s="647"/>
      <c r="D259" s="649"/>
      <c r="E259" s="641"/>
      <c r="F259" s="482"/>
      <c r="G259" s="645"/>
      <c r="H259" s="643"/>
      <c r="I259" s="243" t="s">
        <v>20</v>
      </c>
      <c r="J259" s="244">
        <f>SUM(J258)</f>
        <v>105.473</v>
      </c>
      <c r="K259" s="244">
        <f t="shared" ref="K259:L259" si="31">SUM(K258)</f>
        <v>105.742</v>
      </c>
      <c r="L259" s="245">
        <f t="shared" si="31"/>
        <v>105.742</v>
      </c>
    </row>
    <row r="260" spans="1:17" ht="15" customHeight="1" x14ac:dyDescent="0.25">
      <c r="A260" s="29" t="s">
        <v>21</v>
      </c>
      <c r="B260" s="28" t="s">
        <v>22</v>
      </c>
      <c r="C260" s="662" t="s">
        <v>58</v>
      </c>
      <c r="D260" s="805"/>
      <c r="E260" s="805"/>
      <c r="F260" s="805"/>
      <c r="G260" s="805"/>
      <c r="H260" s="805"/>
      <c r="I260" s="664"/>
      <c r="J260" s="157">
        <f>J259</f>
        <v>105.473</v>
      </c>
      <c r="K260" s="157">
        <f t="shared" ref="K260:L260" si="32">K259</f>
        <v>105.742</v>
      </c>
      <c r="L260" s="162">
        <f t="shared" si="32"/>
        <v>105.742</v>
      </c>
    </row>
    <row r="261" spans="1:17" ht="18" customHeight="1" x14ac:dyDescent="0.25">
      <c r="A261" s="29" t="s">
        <v>21</v>
      </c>
      <c r="B261" s="24"/>
      <c r="C261" s="25"/>
      <c r="D261" s="25"/>
      <c r="E261" s="25"/>
      <c r="F261" s="25"/>
      <c r="G261" s="25"/>
      <c r="H261" s="25"/>
      <c r="I261" s="79" t="s">
        <v>59</v>
      </c>
      <c r="J261" s="32">
        <f>J246+J256+J260</f>
        <v>2572.5330000000004</v>
      </c>
      <c r="K261" s="32">
        <f>K246+K256+K260</f>
        <v>2454.7790000000005</v>
      </c>
      <c r="L261" s="32">
        <f>L246+L256+L260</f>
        <v>2454.7790000000005</v>
      </c>
      <c r="P261" s="15"/>
    </row>
    <row r="262" spans="1:17" ht="16.5" customHeight="1" x14ac:dyDescent="0.25">
      <c r="A262" s="89" t="s">
        <v>21</v>
      </c>
      <c r="B262" s="720" t="s">
        <v>70</v>
      </c>
      <c r="C262" s="721"/>
      <c r="D262" s="721"/>
      <c r="E262" s="721"/>
      <c r="F262" s="721"/>
      <c r="G262" s="721"/>
      <c r="H262" s="721"/>
      <c r="I262" s="721"/>
      <c r="J262" s="160">
        <f>J223+J261+0.4</f>
        <v>28889.735000000004</v>
      </c>
      <c r="K262" s="160">
        <f>K223+K261</f>
        <v>27594.305189999999</v>
      </c>
      <c r="L262" s="161">
        <f>L223+L261</f>
        <v>26384.376080000002</v>
      </c>
      <c r="O262" s="15"/>
    </row>
    <row r="263" spans="1:17" x14ac:dyDescent="0.25">
      <c r="A263" s="33" t="s">
        <v>71</v>
      </c>
      <c r="B263" s="34"/>
      <c r="C263" s="34"/>
      <c r="D263" s="34"/>
      <c r="E263" s="34"/>
      <c r="F263" s="34"/>
      <c r="G263" s="34"/>
      <c r="H263" s="34"/>
      <c r="I263" s="34"/>
      <c r="J263" s="49"/>
      <c r="K263" s="50"/>
    </row>
    <row r="264" spans="1:17" x14ac:dyDescent="0.25">
      <c r="A264" s="35"/>
      <c r="B264" s="34"/>
      <c r="C264" s="34"/>
      <c r="D264" s="34"/>
      <c r="E264" s="34"/>
      <c r="F264" s="34"/>
      <c r="G264" s="34"/>
      <c r="H264" s="34"/>
      <c r="I264" s="34"/>
      <c r="J264" s="49"/>
      <c r="K264" s="50"/>
    </row>
    <row r="265" spans="1:17" x14ac:dyDescent="0.25">
      <c r="A265" s="35"/>
      <c r="B265" s="34"/>
      <c r="C265" s="38"/>
      <c r="D265" s="90" t="s">
        <v>72</v>
      </c>
      <c r="E265" s="90"/>
      <c r="F265" s="90"/>
      <c r="G265" s="38"/>
      <c r="H265" s="38"/>
      <c r="I265" s="38"/>
      <c r="J265" s="49"/>
      <c r="K265" s="50"/>
    </row>
    <row r="266" spans="1:17" x14ac:dyDescent="0.25">
      <c r="A266" s="36"/>
      <c r="B266" s="36"/>
      <c r="C266" s="91"/>
      <c r="D266" s="37"/>
      <c r="E266" s="38"/>
      <c r="F266" s="38"/>
      <c r="G266" s="38"/>
      <c r="H266" s="38"/>
      <c r="I266" s="38"/>
      <c r="J266" s="49"/>
      <c r="K266" s="50"/>
      <c r="Q266" s="15"/>
    </row>
    <row r="267" spans="1:17" ht="22.8" x14ac:dyDescent="0.25">
      <c r="D267" s="470" t="s">
        <v>73</v>
      </c>
      <c r="E267" s="471"/>
      <c r="F267" s="471"/>
      <c r="G267" s="471"/>
      <c r="H267" s="471"/>
      <c r="I267" s="471"/>
      <c r="J267" s="185" t="s">
        <v>11</v>
      </c>
      <c r="K267" s="186" t="s">
        <v>12</v>
      </c>
      <c r="L267" s="39" t="s">
        <v>13</v>
      </c>
    </row>
    <row r="268" spans="1:17" x14ac:dyDescent="0.25">
      <c r="D268" s="475" t="s">
        <v>74</v>
      </c>
      <c r="E268" s="476"/>
      <c r="F268" s="476"/>
      <c r="G268" s="476"/>
      <c r="H268" s="476"/>
      <c r="I268" s="476"/>
      <c r="J268" s="40"/>
      <c r="K268" s="41"/>
      <c r="L268" s="41"/>
    </row>
    <row r="269" spans="1:17" ht="15" customHeight="1" x14ac:dyDescent="0.25">
      <c r="D269" s="465" t="s">
        <v>75</v>
      </c>
      <c r="E269" s="466"/>
      <c r="F269" s="466"/>
      <c r="G269" s="466"/>
      <c r="H269" s="466"/>
      <c r="I269" s="466"/>
      <c r="J269" s="42">
        <f>J270+J276+J277</f>
        <v>29413.683000000001</v>
      </c>
      <c r="K269" s="42">
        <f t="shared" ref="K269:L269" si="33">K270+K276+K277</f>
        <v>27670.477190000001</v>
      </c>
      <c r="L269" s="42">
        <f t="shared" si="33"/>
        <v>26461.548080000004</v>
      </c>
    </row>
    <row r="270" spans="1:17" ht="15" customHeight="1" x14ac:dyDescent="0.25">
      <c r="D270" s="468" t="s">
        <v>76</v>
      </c>
      <c r="E270" s="469"/>
      <c r="F270" s="469"/>
      <c r="G270" s="469"/>
      <c r="H270" s="469"/>
      <c r="I270" s="469"/>
      <c r="J270" s="43">
        <f>SUM(J271:J275)</f>
        <v>28846.051000000003</v>
      </c>
      <c r="K270" s="43">
        <f t="shared" ref="K270:L270" si="34">SUM(K271:K275)</f>
        <v>27668.13319</v>
      </c>
      <c r="L270" s="43">
        <f t="shared" si="34"/>
        <v>26458.204080000003</v>
      </c>
    </row>
    <row r="271" spans="1:17" ht="15" customHeight="1" x14ac:dyDescent="0.25">
      <c r="D271" s="472" t="s">
        <v>77</v>
      </c>
      <c r="E271" s="473"/>
      <c r="F271" s="473"/>
      <c r="G271" s="473"/>
      <c r="H271" s="473"/>
      <c r="I271" s="474"/>
      <c r="J271" s="439">
        <f>SUMIF($I12:$I263,"SBN",J12:J263)</f>
        <v>6084.107</v>
      </c>
      <c r="K271" s="44">
        <f>SUMIF($I12:$I263,"SBN",K12:K263)</f>
        <v>6245.0638599999984</v>
      </c>
      <c r="L271" s="44">
        <f>SUMIF($I12:$I263,"SBN",L12:L263)</f>
        <v>5769.2479999999996</v>
      </c>
    </row>
    <row r="272" spans="1:17" ht="15" customHeight="1" x14ac:dyDescent="0.25">
      <c r="D272" s="714" t="s">
        <v>78</v>
      </c>
      <c r="E272" s="715"/>
      <c r="F272" s="715"/>
      <c r="G272" s="715"/>
      <c r="H272" s="715"/>
      <c r="I272" s="716"/>
      <c r="J272" s="44">
        <f>SUMIF($I12:$I263,"VBD",J12:J263)</f>
        <v>19577.348000000002</v>
      </c>
      <c r="K272" s="44">
        <f>SUMIF($I12:$I263,"VBD",K12:K263)</f>
        <v>19402.100000000002</v>
      </c>
      <c r="L272" s="44">
        <f>SUMIF($I12:$I263,"VBD",L12:L263)</f>
        <v>19402.100000000002</v>
      </c>
    </row>
    <row r="273" spans="4:12" ht="15" customHeight="1" x14ac:dyDescent="0.25">
      <c r="D273" s="714" t="s">
        <v>79</v>
      </c>
      <c r="E273" s="715"/>
      <c r="F273" s="715"/>
      <c r="G273" s="715"/>
      <c r="H273" s="715"/>
      <c r="I273" s="716"/>
      <c r="J273" s="439">
        <f>SUMIF($I12:$I263,"PĮ",J12:J263)</f>
        <v>70.3</v>
      </c>
      <c r="K273" s="44">
        <f>SUMIF($I12:$I263,"PĮ",K12:K263)</f>
        <v>70.275000000000006</v>
      </c>
      <c r="L273" s="44">
        <f>SUMIF($I12:$I263,"PĮ",L12:L263)</f>
        <v>70.275000000000006</v>
      </c>
    </row>
    <row r="274" spans="4:12" ht="15" customHeight="1" x14ac:dyDescent="0.25">
      <c r="D274" s="714" t="s">
        <v>80</v>
      </c>
      <c r="E274" s="715"/>
      <c r="F274" s="715"/>
      <c r="G274" s="715"/>
      <c r="H274" s="715"/>
      <c r="I274" s="716"/>
      <c r="J274" s="439">
        <f>SUMIF($I12:$I263,"TPP",J12:J263)</f>
        <v>0</v>
      </c>
      <c r="K274" s="44">
        <f>SUMIF($I12:$I263,"TPP",K12:K263)</f>
        <v>0</v>
      </c>
      <c r="L274" s="44">
        <f>SUMIF($I12:$I263,"TPP",L12:L263)</f>
        <v>0</v>
      </c>
    </row>
    <row r="275" spans="4:12" ht="14.4" customHeight="1" x14ac:dyDescent="0.25">
      <c r="D275" s="714" t="s">
        <v>81</v>
      </c>
      <c r="E275" s="715"/>
      <c r="F275" s="715"/>
      <c r="G275" s="715"/>
      <c r="H275" s="715"/>
      <c r="I275" s="716"/>
      <c r="J275" s="439">
        <f>SUMIF($I12:$I263,"ES",J12:J263)</f>
        <v>3114.2960000000007</v>
      </c>
      <c r="K275" s="44">
        <f>SUMIF($I12:$I263,"ES",K12:K263)</f>
        <v>1950.6943299999998</v>
      </c>
      <c r="L275" s="44">
        <f>SUMIF($I12:$I263,"ES",L12:L263)</f>
        <v>1216.5810800000002</v>
      </c>
    </row>
    <row r="276" spans="4:12" ht="15.75" customHeight="1" x14ac:dyDescent="0.25">
      <c r="D276" s="714" t="s">
        <v>82</v>
      </c>
      <c r="E276" s="715"/>
      <c r="F276" s="715"/>
      <c r="G276" s="715"/>
      <c r="H276" s="715"/>
      <c r="I276" s="716"/>
      <c r="J276" s="439">
        <f>SUMIF($I12:$I263,"SL",J12:J263)</f>
        <v>338.6</v>
      </c>
      <c r="K276" s="44">
        <f>SUMIF($I12:$I263,"SL",K12:K263)</f>
        <v>0</v>
      </c>
      <c r="L276" s="44">
        <f>SUMIF($I12:$I263,"SL",L12:L263)</f>
        <v>0</v>
      </c>
    </row>
    <row r="277" spans="4:12" ht="15.75" customHeight="1" x14ac:dyDescent="0.25">
      <c r="D277" s="714" t="s">
        <v>83</v>
      </c>
      <c r="E277" s="715"/>
      <c r="F277" s="715"/>
      <c r="G277" s="715"/>
      <c r="H277" s="715"/>
      <c r="I277" s="716"/>
      <c r="J277" s="440">
        <f>SUMIF($I12:$I263,"AML",J12:J263)</f>
        <v>229.03200000000001</v>
      </c>
      <c r="K277" s="349">
        <f>SUMIF($I12:$I263,"AML",K12:K263)</f>
        <v>2.3439999999999999</v>
      </c>
      <c r="L277" s="349">
        <f>SUMIF($I12:$I263,"AML",L12:L263)</f>
        <v>3.3439999999999999</v>
      </c>
    </row>
    <row r="278" spans="4:12" ht="15.75" customHeight="1" x14ac:dyDescent="0.25">
      <c r="D278" s="465" t="s">
        <v>84</v>
      </c>
      <c r="E278" s="466"/>
      <c r="F278" s="466"/>
      <c r="G278" s="466"/>
      <c r="H278" s="466"/>
      <c r="I278" s="467"/>
      <c r="J278" s="42">
        <v>0</v>
      </c>
      <c r="K278" s="42">
        <v>0</v>
      </c>
      <c r="L278" s="92">
        <v>0</v>
      </c>
    </row>
    <row r="279" spans="4:12" ht="27" customHeight="1" x14ac:dyDescent="0.25">
      <c r="D279" s="462" t="s">
        <v>85</v>
      </c>
      <c r="E279" s="463"/>
      <c r="F279" s="463"/>
      <c r="G279" s="463"/>
      <c r="H279" s="463"/>
      <c r="I279" s="464"/>
      <c r="J279" s="45">
        <v>0</v>
      </c>
      <c r="K279" s="45">
        <v>0</v>
      </c>
      <c r="L279" s="93">
        <v>0</v>
      </c>
    </row>
    <row r="280" spans="4:12" ht="15" customHeight="1" x14ac:dyDescent="0.25">
      <c r="D280" s="465" t="s">
        <v>86</v>
      </c>
      <c r="E280" s="466"/>
      <c r="F280" s="466"/>
      <c r="G280" s="466"/>
      <c r="H280" s="466"/>
      <c r="I280" s="467"/>
      <c r="J280" s="42">
        <f>J269+J278</f>
        <v>29413.683000000001</v>
      </c>
      <c r="K280" s="42">
        <f t="shared" ref="K280:L280" si="35">K269+K278</f>
        <v>27670.477190000001</v>
      </c>
      <c r="L280" s="42">
        <f t="shared" si="35"/>
        <v>26461.548080000004</v>
      </c>
    </row>
    <row r="281" spans="4:12" ht="15.75" customHeight="1" x14ac:dyDescent="0.25">
      <c r="D281" s="714" t="s">
        <v>87</v>
      </c>
      <c r="E281" s="715"/>
      <c r="F281" s="715"/>
      <c r="G281" s="715"/>
      <c r="H281" s="715"/>
      <c r="I281" s="716"/>
      <c r="J281" s="46">
        <v>0</v>
      </c>
      <c r="K281" s="46">
        <v>0</v>
      </c>
      <c r="L281" s="94">
        <v>0</v>
      </c>
    </row>
    <row r="282" spans="4:12" x14ac:dyDescent="0.25">
      <c r="D282" s="459" t="s">
        <v>88</v>
      </c>
      <c r="E282" s="460"/>
      <c r="F282" s="460"/>
      <c r="G282" s="460"/>
      <c r="H282" s="460"/>
      <c r="I282" s="461"/>
      <c r="J282" s="203">
        <f>J280</f>
        <v>29413.683000000001</v>
      </c>
      <c r="K282" s="47">
        <f t="shared" ref="K282:L282" si="36">K280</f>
        <v>27670.477190000001</v>
      </c>
      <c r="L282" s="47">
        <f t="shared" si="36"/>
        <v>26461.548080000004</v>
      </c>
    </row>
    <row r="283" spans="4:12" x14ac:dyDescent="0.25">
      <c r="E283" s="48"/>
      <c r="J283" s="49"/>
      <c r="K283" s="50"/>
    </row>
    <row r="284" spans="4:12" x14ac:dyDescent="0.25">
      <c r="E284" s="48"/>
      <c r="J284" s="49"/>
      <c r="K284" s="50"/>
    </row>
    <row r="285" spans="4:12" x14ac:dyDescent="0.25">
      <c r="E285" s="48"/>
      <c r="J285" s="49"/>
      <c r="K285" s="50"/>
    </row>
    <row r="286" spans="4:12" x14ac:dyDescent="0.25">
      <c r="E286" s="48"/>
      <c r="J286" s="49"/>
      <c r="K286" s="50"/>
    </row>
  </sheetData>
  <mergeCells count="315">
    <mergeCell ref="I143:I144"/>
    <mergeCell ref="K145:K146"/>
    <mergeCell ref="L145:L146"/>
    <mergeCell ref="G153:G156"/>
    <mergeCell ref="H153:H156"/>
    <mergeCell ref="G157:G171"/>
    <mergeCell ref="H157:H171"/>
    <mergeCell ref="F157:F158"/>
    <mergeCell ref="F163:F164"/>
    <mergeCell ref="F165:F166"/>
    <mergeCell ref="F167:F168"/>
    <mergeCell ref="F169:F171"/>
    <mergeCell ref="H215:H217"/>
    <mergeCell ref="B140:B150"/>
    <mergeCell ref="C140:C150"/>
    <mergeCell ref="F141:F142"/>
    <mergeCell ref="I145:I146"/>
    <mergeCell ref="I141:I142"/>
    <mergeCell ref="J141:J142"/>
    <mergeCell ref="K141:K142"/>
    <mergeCell ref="L141:L142"/>
    <mergeCell ref="F174:F176"/>
    <mergeCell ref="F196:F197"/>
    <mergeCell ref="G174:G181"/>
    <mergeCell ref="F186:F187"/>
    <mergeCell ref="F149:F150"/>
    <mergeCell ref="F151:F152"/>
    <mergeCell ref="E153:E155"/>
    <mergeCell ref="J145:J146"/>
    <mergeCell ref="F199:F200"/>
    <mergeCell ref="F159:F160"/>
    <mergeCell ref="F161:F162"/>
    <mergeCell ref="F145:F146"/>
    <mergeCell ref="J143:J144"/>
    <mergeCell ref="K143:K144"/>
    <mergeCell ref="L143:L144"/>
    <mergeCell ref="E220:E221"/>
    <mergeCell ref="G113:G115"/>
    <mergeCell ref="H113:H124"/>
    <mergeCell ref="D208:D212"/>
    <mergeCell ref="G208:G212"/>
    <mergeCell ref="H208:H212"/>
    <mergeCell ref="D186:D207"/>
    <mergeCell ref="F137:F139"/>
    <mergeCell ref="G127:G139"/>
    <mergeCell ref="H127:H139"/>
    <mergeCell ref="H140:H150"/>
    <mergeCell ref="D113:D124"/>
    <mergeCell ref="D127:D130"/>
    <mergeCell ref="H174:H181"/>
    <mergeCell ref="E208:E212"/>
    <mergeCell ref="G186:G187"/>
    <mergeCell ref="F208:F209"/>
    <mergeCell ref="F210:F212"/>
    <mergeCell ref="C172:I172"/>
    <mergeCell ref="H220:H221"/>
    <mergeCell ref="G220:G221"/>
    <mergeCell ref="G141:G150"/>
    <mergeCell ref="F184:F185"/>
    <mergeCell ref="F118:F119"/>
    <mergeCell ref="D282:I282"/>
    <mergeCell ref="A125:A126"/>
    <mergeCell ref="B125:B126"/>
    <mergeCell ref="C125:C126"/>
    <mergeCell ref="D125:D126"/>
    <mergeCell ref="E125:E126"/>
    <mergeCell ref="H125:H126"/>
    <mergeCell ref="B215:B217"/>
    <mergeCell ref="C215:C217"/>
    <mergeCell ref="D215:D217"/>
    <mergeCell ref="E215:E217"/>
    <mergeCell ref="F215:F217"/>
    <mergeCell ref="G215:G217"/>
    <mergeCell ref="A186:A207"/>
    <mergeCell ref="E186:E207"/>
    <mergeCell ref="H186:H207"/>
    <mergeCell ref="F206:F207"/>
    <mergeCell ref="B224:L224"/>
    <mergeCell ref="A182:A185"/>
    <mergeCell ref="A174:A181"/>
    <mergeCell ref="D140:D150"/>
    <mergeCell ref="D237:D245"/>
    <mergeCell ref="F220:F221"/>
    <mergeCell ref="C260:I260"/>
    <mergeCell ref="A15:A16"/>
    <mergeCell ref="G188:G207"/>
    <mergeCell ref="C182:C185"/>
    <mergeCell ref="C85:C104"/>
    <mergeCell ref="D85:D104"/>
    <mergeCell ref="E85:E104"/>
    <mergeCell ref="C186:C207"/>
    <mergeCell ref="D182:D185"/>
    <mergeCell ref="E182:E185"/>
    <mergeCell ref="A83:A84"/>
    <mergeCell ref="B83:B84"/>
    <mergeCell ref="A17:A19"/>
    <mergeCell ref="A20:A22"/>
    <mergeCell ref="A23:A25"/>
    <mergeCell ref="A26:A28"/>
    <mergeCell ref="A29:A31"/>
    <mergeCell ref="A32:A34"/>
    <mergeCell ref="A35:A36"/>
    <mergeCell ref="G183:G185"/>
    <mergeCell ref="E113:E124"/>
    <mergeCell ref="F113:F115"/>
    <mergeCell ref="B15:B16"/>
    <mergeCell ref="B17:B19"/>
    <mergeCell ref="B20:B22"/>
    <mergeCell ref="L10:L11"/>
    <mergeCell ref="H9:H11"/>
    <mergeCell ref="C15:C16"/>
    <mergeCell ref="D15:D16"/>
    <mergeCell ref="E15:E16"/>
    <mergeCell ref="F15:F16"/>
    <mergeCell ref="G15:G16"/>
    <mergeCell ref="H15:H16"/>
    <mergeCell ref="G18:G36"/>
    <mergeCell ref="H17:H36"/>
    <mergeCell ref="F35:F36"/>
    <mergeCell ref="C14:L14"/>
    <mergeCell ref="C17:C36"/>
    <mergeCell ref="D17:D36"/>
    <mergeCell ref="E17:E36"/>
    <mergeCell ref="B7:K7"/>
    <mergeCell ref="A9:A11"/>
    <mergeCell ref="B9:B11"/>
    <mergeCell ref="C9:C11"/>
    <mergeCell ref="D9:D11"/>
    <mergeCell ref="E9:E11"/>
    <mergeCell ref="F9:F11"/>
    <mergeCell ref="G9:G11"/>
    <mergeCell ref="I9:I11"/>
    <mergeCell ref="K10:K11"/>
    <mergeCell ref="J10:J11"/>
    <mergeCell ref="I1:L1"/>
    <mergeCell ref="I2:L2"/>
    <mergeCell ref="I5:L5"/>
    <mergeCell ref="D281:I281"/>
    <mergeCell ref="D276:I276"/>
    <mergeCell ref="D278:I278"/>
    <mergeCell ref="D277:I277"/>
    <mergeCell ref="D279:I279"/>
    <mergeCell ref="D280:I280"/>
    <mergeCell ref="D273:I273"/>
    <mergeCell ref="D272:I272"/>
    <mergeCell ref="D274:I274"/>
    <mergeCell ref="D275:I275"/>
    <mergeCell ref="H81:H82"/>
    <mergeCell ref="D81:D82"/>
    <mergeCell ref="D271:I271"/>
    <mergeCell ref="D270:I270"/>
    <mergeCell ref="D269:I269"/>
    <mergeCell ref="D268:I268"/>
    <mergeCell ref="B262:I262"/>
    <mergeCell ref="D267:I267"/>
    <mergeCell ref="H226:H236"/>
    <mergeCell ref="H237:H245"/>
    <mergeCell ref="C237:C245"/>
    <mergeCell ref="B23:B25"/>
    <mergeCell ref="G81:G82"/>
    <mergeCell ref="F81:F82"/>
    <mergeCell ref="B26:B28"/>
    <mergeCell ref="B29:B31"/>
    <mergeCell ref="B32:B34"/>
    <mergeCell ref="B35:B36"/>
    <mergeCell ref="F38:F39"/>
    <mergeCell ref="C37:C39"/>
    <mergeCell ref="D50:D80"/>
    <mergeCell ref="D40:D49"/>
    <mergeCell ref="C40:C49"/>
    <mergeCell ref="E40:E49"/>
    <mergeCell ref="F50:F51"/>
    <mergeCell ref="F52:F53"/>
    <mergeCell ref="F54:F55"/>
    <mergeCell ref="F56:F57"/>
    <mergeCell ref="D37:D39"/>
    <mergeCell ref="B37:B39"/>
    <mergeCell ref="F74:F76"/>
    <mergeCell ref="G50:G80"/>
    <mergeCell ref="F64:F65"/>
    <mergeCell ref="F72:F73"/>
    <mergeCell ref="F70:F71"/>
    <mergeCell ref="D253:D255"/>
    <mergeCell ref="E253:E255"/>
    <mergeCell ref="F253:F255"/>
    <mergeCell ref="G253:G255"/>
    <mergeCell ref="H253:H255"/>
    <mergeCell ref="B226:B236"/>
    <mergeCell ref="E237:E245"/>
    <mergeCell ref="C226:C236"/>
    <mergeCell ref="G226:G236"/>
    <mergeCell ref="G237:G245"/>
    <mergeCell ref="C246:I246"/>
    <mergeCell ref="F235:F236"/>
    <mergeCell ref="F244:F245"/>
    <mergeCell ref="E226:E236"/>
    <mergeCell ref="D226:D236"/>
    <mergeCell ref="F229:F230"/>
    <mergeCell ref="A258:A259"/>
    <mergeCell ref="B258:B259"/>
    <mergeCell ref="E258:E259"/>
    <mergeCell ref="F258:F259"/>
    <mergeCell ref="H258:H259"/>
    <mergeCell ref="G258:G259"/>
    <mergeCell ref="C258:C259"/>
    <mergeCell ref="D258:D259"/>
    <mergeCell ref="B248:B249"/>
    <mergeCell ref="B250:B252"/>
    <mergeCell ref="A250:A252"/>
    <mergeCell ref="F248:F249"/>
    <mergeCell ref="G248:G249"/>
    <mergeCell ref="H248:H249"/>
    <mergeCell ref="A253:A255"/>
    <mergeCell ref="H250:H252"/>
    <mergeCell ref="D250:D252"/>
    <mergeCell ref="C250:C252"/>
    <mergeCell ref="E250:E252"/>
    <mergeCell ref="G250:G252"/>
    <mergeCell ref="F251:F252"/>
    <mergeCell ref="C256:I256"/>
    <mergeCell ref="B253:B255"/>
    <mergeCell ref="C253:C255"/>
    <mergeCell ref="C222:I222"/>
    <mergeCell ref="B151:B152"/>
    <mergeCell ref="C151:C152"/>
    <mergeCell ref="D151:D152"/>
    <mergeCell ref="E151:E152"/>
    <mergeCell ref="C225:L225"/>
    <mergeCell ref="H182:H185"/>
    <mergeCell ref="F226:F227"/>
    <mergeCell ref="A248:A249"/>
    <mergeCell ref="C248:C249"/>
    <mergeCell ref="D248:D249"/>
    <mergeCell ref="E248:E249"/>
    <mergeCell ref="A226:A236"/>
    <mergeCell ref="H151:H152"/>
    <mergeCell ref="A220:A221"/>
    <mergeCell ref="F177:F181"/>
    <mergeCell ref="C220:C221"/>
    <mergeCell ref="B208:B212"/>
    <mergeCell ref="C208:C212"/>
    <mergeCell ref="B182:B185"/>
    <mergeCell ref="B174:B181"/>
    <mergeCell ref="B220:B221"/>
    <mergeCell ref="B186:B207"/>
    <mergeCell ref="A208:A212"/>
    <mergeCell ref="H37:H39"/>
    <mergeCell ref="F77:F80"/>
    <mergeCell ref="A50:A80"/>
    <mergeCell ref="B50:B80"/>
    <mergeCell ref="C50:C80"/>
    <mergeCell ref="B127:B128"/>
    <mergeCell ref="F122:F124"/>
    <mergeCell ref="G116:G124"/>
    <mergeCell ref="E37:E39"/>
    <mergeCell ref="G37:G39"/>
    <mergeCell ref="F48:F49"/>
    <mergeCell ref="F58:F59"/>
    <mergeCell ref="E50:E80"/>
    <mergeCell ref="G40:G49"/>
    <mergeCell ref="F103:F104"/>
    <mergeCell ref="G85:G104"/>
    <mergeCell ref="F83:F84"/>
    <mergeCell ref="H83:H84"/>
    <mergeCell ref="A81:A82"/>
    <mergeCell ref="E81:E82"/>
    <mergeCell ref="C83:C84"/>
    <mergeCell ref="A40:A49"/>
    <mergeCell ref="B40:B49"/>
    <mergeCell ref="G83:G84"/>
    <mergeCell ref="A105:A112"/>
    <mergeCell ref="A151:A152"/>
    <mergeCell ref="A85:A104"/>
    <mergeCell ref="F116:F117"/>
    <mergeCell ref="A113:A124"/>
    <mergeCell ref="B113:B124"/>
    <mergeCell ref="C113:C124"/>
    <mergeCell ref="F120:F121"/>
    <mergeCell ref="F125:F126"/>
    <mergeCell ref="A140:A150"/>
    <mergeCell ref="F143:F144"/>
    <mergeCell ref="E174:E181"/>
    <mergeCell ref="D83:D84"/>
    <mergeCell ref="E83:E84"/>
    <mergeCell ref="C81:C82"/>
    <mergeCell ref="B81:B82"/>
    <mergeCell ref="F60:F61"/>
    <mergeCell ref="F66:F67"/>
    <mergeCell ref="F68:F69"/>
    <mergeCell ref="F92:F93"/>
    <mergeCell ref="F153:F156"/>
    <mergeCell ref="I3:L3"/>
    <mergeCell ref="D220:D221"/>
    <mergeCell ref="H40:H49"/>
    <mergeCell ref="H50:H80"/>
    <mergeCell ref="H105:H112"/>
    <mergeCell ref="H85:H104"/>
    <mergeCell ref="A153:A171"/>
    <mergeCell ref="B153:B171"/>
    <mergeCell ref="C153:C171"/>
    <mergeCell ref="D153:D171"/>
    <mergeCell ref="B85:B104"/>
    <mergeCell ref="B105:B112"/>
    <mergeCell ref="C105:C112"/>
    <mergeCell ref="D105:D112"/>
    <mergeCell ref="E105:E112"/>
    <mergeCell ref="F110:F112"/>
    <mergeCell ref="G105:G112"/>
    <mergeCell ref="E140:E150"/>
    <mergeCell ref="A215:A217"/>
    <mergeCell ref="A37:A39"/>
    <mergeCell ref="G151:G152"/>
    <mergeCell ref="C174:C181"/>
    <mergeCell ref="G125:G126"/>
    <mergeCell ref="D174:D181"/>
  </mergeCells>
  <phoneticPr fontId="31" type="noConversion"/>
  <pageMargins left="0.7" right="0.7" top="0.75" bottom="0.75" header="0.3" footer="0.3"/>
  <pageSetup paperSize="9" scale="55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E21"/>
  <sheetViews>
    <sheetView workbookViewId="0">
      <selection activeCell="K40" sqref="K40"/>
    </sheetView>
  </sheetViews>
  <sheetFormatPr defaultRowHeight="14.4" x14ac:dyDescent="0.3"/>
  <cols>
    <col min="2" max="2" width="62.109375" customWidth="1"/>
  </cols>
  <sheetData>
    <row r="1" spans="1:5" ht="79.8" x14ac:dyDescent="0.3">
      <c r="A1" s="2" t="s">
        <v>149</v>
      </c>
      <c r="B1" s="3" t="s">
        <v>150</v>
      </c>
      <c r="C1" s="3" t="s">
        <v>151</v>
      </c>
      <c r="D1" s="3" t="s">
        <v>152</v>
      </c>
      <c r="E1" s="4" t="s">
        <v>153</v>
      </c>
    </row>
    <row r="2" spans="1:5" x14ac:dyDescent="0.3">
      <c r="A2" s="392" t="s">
        <v>154</v>
      </c>
      <c r="B2" s="393" t="s">
        <v>155</v>
      </c>
      <c r="C2" s="394" t="s">
        <v>156</v>
      </c>
      <c r="D2" s="394" t="s">
        <v>157</v>
      </c>
      <c r="E2" s="395" t="s">
        <v>158</v>
      </c>
    </row>
    <row r="3" spans="1:5" x14ac:dyDescent="0.3">
      <c r="A3" s="396" t="s">
        <v>159</v>
      </c>
      <c r="B3" s="397" t="s">
        <v>160</v>
      </c>
      <c r="C3" s="6" t="e">
        <f>#REF!</f>
        <v>#REF!</v>
      </c>
      <c r="D3" s="6" t="e">
        <f>#REF!</f>
        <v>#REF!</v>
      </c>
      <c r="E3" s="6" t="e">
        <f>#REF!</f>
        <v>#REF!</v>
      </c>
    </row>
    <row r="4" spans="1:5" x14ac:dyDescent="0.3">
      <c r="A4" s="396" t="s">
        <v>161</v>
      </c>
      <c r="B4" s="397" t="s">
        <v>162</v>
      </c>
      <c r="C4" s="6">
        <f>'2 programa'!J282</f>
        <v>29413.683000000001</v>
      </c>
      <c r="D4" s="6">
        <f>'2 programa'!K282</f>
        <v>27670.477190000001</v>
      </c>
      <c r="E4" s="6">
        <f>'2 programa'!L282</f>
        <v>26461.548080000004</v>
      </c>
    </row>
    <row r="5" spans="1:5" x14ac:dyDescent="0.3">
      <c r="A5" s="396" t="s">
        <v>163</v>
      </c>
      <c r="B5" s="397" t="s">
        <v>164</v>
      </c>
      <c r="C5" s="6" t="e">
        <f>#REF!</f>
        <v>#REF!</v>
      </c>
      <c r="D5" s="7" t="e">
        <f>#REF!</f>
        <v>#REF!</v>
      </c>
      <c r="E5" s="7" t="e">
        <f>#REF!</f>
        <v>#REF!</v>
      </c>
    </row>
    <row r="6" spans="1:5" x14ac:dyDescent="0.3">
      <c r="A6" s="396" t="s">
        <v>165</v>
      </c>
      <c r="B6" s="397" t="s">
        <v>166</v>
      </c>
      <c r="C6" s="6" t="e">
        <f>#REF!</f>
        <v>#REF!</v>
      </c>
      <c r="D6" s="6" t="e">
        <f>#REF!</f>
        <v>#REF!</v>
      </c>
      <c r="E6" s="6" t="e">
        <f>#REF!</f>
        <v>#REF!</v>
      </c>
    </row>
    <row r="7" spans="1:5" x14ac:dyDescent="0.3">
      <c r="A7" s="396" t="s">
        <v>167</v>
      </c>
      <c r="B7" s="397" t="s">
        <v>168</v>
      </c>
      <c r="C7" s="6" t="e">
        <f>#REF!</f>
        <v>#REF!</v>
      </c>
      <c r="D7" s="6" t="e">
        <f>#REF!</f>
        <v>#REF!</v>
      </c>
      <c r="E7" s="6" t="e">
        <f>#REF!</f>
        <v>#REF!</v>
      </c>
    </row>
    <row r="8" spans="1:5" x14ac:dyDescent="0.3">
      <c r="A8" s="867" t="s">
        <v>169</v>
      </c>
      <c r="B8" s="868"/>
      <c r="C8" s="8" t="e">
        <f>#REF!</f>
        <v>#REF!</v>
      </c>
      <c r="D8" s="8" t="e">
        <f>#REF!</f>
        <v>#REF!</v>
      </c>
      <c r="E8" s="8" t="e">
        <f>#REF!</f>
        <v>#REF!</v>
      </c>
    </row>
    <row r="9" spans="1:5" x14ac:dyDescent="0.3">
      <c r="A9" s="5" t="s">
        <v>170</v>
      </c>
      <c r="C9" s="8" t="e">
        <f>#REF!</f>
        <v>#REF!</v>
      </c>
      <c r="D9" s="8" t="e">
        <f>#REF!</f>
        <v>#REF!</v>
      </c>
      <c r="E9" s="8" t="e">
        <f>#REF!</f>
        <v>#REF!</v>
      </c>
    </row>
    <row r="10" spans="1:5" x14ac:dyDescent="0.3">
      <c r="A10" s="5" t="s">
        <v>171</v>
      </c>
      <c r="C10" s="9"/>
      <c r="D10" s="9"/>
      <c r="E10" s="9"/>
    </row>
    <row r="11" spans="1:5" x14ac:dyDescent="0.3">
      <c r="A11" s="867" t="s">
        <v>172</v>
      </c>
      <c r="B11" s="868"/>
      <c r="C11" s="8" t="e">
        <f>#REF!</f>
        <v>#REF!</v>
      </c>
      <c r="D11" s="8" t="e">
        <f>#REF!</f>
        <v>#REF!</v>
      </c>
      <c r="E11" s="8" t="e">
        <f>#REF!</f>
        <v>#REF!</v>
      </c>
    </row>
    <row r="12" spans="1:5" x14ac:dyDescent="0.3">
      <c r="A12" s="867" t="s">
        <v>173</v>
      </c>
      <c r="B12" s="868"/>
      <c r="C12" s="8" t="e">
        <f>#REF!</f>
        <v>#REF!</v>
      </c>
      <c r="D12" s="8" t="e">
        <f>#REF!</f>
        <v>#REF!</v>
      </c>
      <c r="E12" s="8" t="e">
        <f>#REF!</f>
        <v>#REF!</v>
      </c>
    </row>
    <row r="13" spans="1:5" x14ac:dyDescent="0.3">
      <c r="A13" s="867" t="s">
        <v>174</v>
      </c>
      <c r="B13" s="868"/>
      <c r="C13" s="8" t="e">
        <f>#REF!</f>
        <v>#REF!</v>
      </c>
      <c r="D13" s="8" t="e">
        <f>#REF!</f>
        <v>#REF!</v>
      </c>
      <c r="E13" s="8" t="e">
        <f>#REF!</f>
        <v>#REF!</v>
      </c>
    </row>
    <row r="14" spans="1:5" x14ac:dyDescent="0.3">
      <c r="A14" s="867" t="s">
        <v>175</v>
      </c>
      <c r="B14" s="868"/>
      <c r="C14" s="8" t="e">
        <f>#REF!</f>
        <v>#REF!</v>
      </c>
      <c r="D14" s="8" t="e">
        <f>#REF!</f>
        <v>#REF!</v>
      </c>
      <c r="E14" s="8" t="e">
        <f>#REF!</f>
        <v>#REF!</v>
      </c>
    </row>
    <row r="15" spans="1:5" x14ac:dyDescent="0.3">
      <c r="A15" s="867" t="s">
        <v>176</v>
      </c>
      <c r="B15" s="868"/>
      <c r="C15" s="8" t="e">
        <f>#REF!</f>
        <v>#REF!</v>
      </c>
      <c r="D15" s="8" t="e">
        <f>#REF!</f>
        <v>#REF!</v>
      </c>
      <c r="E15" s="8" t="e">
        <f>#REF!</f>
        <v>#REF!</v>
      </c>
    </row>
    <row r="16" spans="1:5" x14ac:dyDescent="0.3">
      <c r="A16" s="867" t="s">
        <v>177</v>
      </c>
      <c r="B16" s="868"/>
      <c r="C16" s="10" t="e">
        <f>#REF!</f>
        <v>#REF!</v>
      </c>
      <c r="D16" s="10" t="e">
        <f>#REF!</f>
        <v>#REF!</v>
      </c>
      <c r="E16" s="10" t="e">
        <f>#REF!</f>
        <v>#REF!</v>
      </c>
    </row>
    <row r="17" spans="1:5" ht="24" customHeight="1" x14ac:dyDescent="0.3">
      <c r="A17" s="867" t="s">
        <v>178</v>
      </c>
      <c r="B17" s="868"/>
      <c r="C17" s="8" t="e">
        <f>#REF!</f>
        <v>#REF!</v>
      </c>
      <c r="D17" s="8" t="e">
        <f>#REF!</f>
        <v>#REF!</v>
      </c>
      <c r="E17" s="8" t="e">
        <f>#REF!</f>
        <v>#REF!</v>
      </c>
    </row>
    <row r="18" spans="1:5" x14ac:dyDescent="0.3">
      <c r="A18" s="867" t="s">
        <v>179</v>
      </c>
      <c r="B18" s="868"/>
      <c r="C18" s="8" t="s">
        <v>180</v>
      </c>
      <c r="D18" s="8" t="s">
        <v>181</v>
      </c>
      <c r="E18" s="8" t="s">
        <v>182</v>
      </c>
    </row>
    <row r="19" spans="1:5" x14ac:dyDescent="0.3">
      <c r="A19" s="867" t="s">
        <v>183</v>
      </c>
      <c r="B19" s="868"/>
      <c r="C19" s="8" t="e">
        <f>#REF!</f>
        <v>#REF!</v>
      </c>
      <c r="D19" s="8" t="e">
        <f>#REF!</f>
        <v>#REF!</v>
      </c>
      <c r="E19" s="8" t="e">
        <f>#REF!</f>
        <v>#REF!</v>
      </c>
    </row>
    <row r="20" spans="1:5" x14ac:dyDescent="0.3">
      <c r="A20" s="867" t="s">
        <v>184</v>
      </c>
      <c r="B20" s="868"/>
      <c r="C20" s="8" t="s">
        <v>185</v>
      </c>
      <c r="D20" s="8" t="s">
        <v>185</v>
      </c>
      <c r="E20" s="8" t="s">
        <v>185</v>
      </c>
    </row>
    <row r="21" spans="1:5" x14ac:dyDescent="0.3">
      <c r="A21" s="865" t="s">
        <v>186</v>
      </c>
      <c r="B21" s="866"/>
      <c r="C21" s="8" t="e">
        <f>#REF!</f>
        <v>#REF!</v>
      </c>
      <c r="D21" s="8" t="e">
        <f>#REF!</f>
        <v>#REF!</v>
      </c>
      <c r="E21" s="8" t="e">
        <f>#REF!</f>
        <v>#REF!</v>
      </c>
    </row>
  </sheetData>
  <mergeCells count="12">
    <mergeCell ref="A21:B21"/>
    <mergeCell ref="A8:B8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2B9FF89BC0D15E42850BA04E1E8B4F0E" ma:contentTypeVersion="18" ma:contentTypeDescription="Kurkite naują dokumentą." ma:contentTypeScope="" ma:versionID="0e2418ded2c0c5de08a71c5845c73acd">
  <xsd:schema xmlns:xsd="http://www.w3.org/2001/XMLSchema" xmlns:xs="http://www.w3.org/2001/XMLSchema" xmlns:p="http://schemas.microsoft.com/office/2006/metadata/properties" xmlns:ns1="http://schemas.microsoft.com/sharepoint/v3" xmlns:ns2="b9a3712e-bc20-405a-b37f-500586867ac7" xmlns:ns3="7463d64c-3a86-4ce4-961a-ea9a276065c6" targetNamespace="http://schemas.microsoft.com/office/2006/metadata/properties" ma:root="true" ma:fieldsID="d44a32c424c6c58567a53eadc4ff1755" ns1:_="" ns2:_="" ns3:_="">
    <xsd:import namespace="http://schemas.microsoft.com/sharepoint/v3"/>
    <xsd:import namespace="b9a3712e-bc20-405a-b37f-500586867ac7"/>
    <xsd:import namespace="7463d64c-3a86-4ce4-961a-ea9a276065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Bendrosios atitikties strategijos ypatybė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Bendrosios atitikties strategijos UI veiksmas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a3712e-bc20-405a-b37f-500586867ac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Vaizdų žymės" ma:readOnly="false" ma:fieldId="{5cf76f15-5ced-4ddc-b409-7134ff3c332f}" ma:taxonomyMulti="true" ma:sspId="82862607-985e-4adb-854e-bf70ecc715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3d64c-3a86-4ce4-961a-ea9a276065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917caf-c73e-4626-977e-659598709a0a}" ma:internalName="TaxCatchAll" ma:showField="CatchAllData" ma:web="7463d64c-3a86-4ce4-961a-ea9a276065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Bendrinama s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Bendrinta su išsamia informacija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463d64c-3a86-4ce4-961a-ea9a276065c6">
      <UserInfo>
        <DisplayName>Audronė Litvinskaitė</DisplayName>
        <AccountId>27</AccountId>
        <AccountType/>
      </UserInfo>
      <UserInfo>
        <DisplayName>Violeta Grajauskienė</DisplayName>
        <AccountId>13</AccountId>
        <AccountType/>
      </UserInfo>
      <UserInfo>
        <DisplayName>Rita Čepulienė</DisplayName>
        <AccountId>63</AccountId>
        <AccountType/>
      </UserInfo>
      <UserInfo>
        <DisplayName>Ignas Simonaitis</DisplayName>
        <AccountId>14</AccountId>
        <AccountType/>
      </UserInfo>
      <UserInfo>
        <DisplayName>Linas Lazauskas</DisplayName>
        <AccountId>43</AccountId>
        <AccountType/>
      </UserInfo>
      <UserInfo>
        <DisplayName>Justina Smolskienė</DisplayName>
        <AccountId>90</AccountId>
        <AccountType/>
      </UserInfo>
    </SharedWithUsers>
    <lcf76f155ced4ddcb4097134ff3c332f xmlns="b9a3712e-bc20-405a-b37f-500586867ac7">
      <Terms xmlns="http://schemas.microsoft.com/office/infopath/2007/PartnerControls"/>
    </lcf76f155ced4ddcb4097134ff3c332f>
    <TaxCatchAll xmlns="7463d64c-3a86-4ce4-961a-ea9a276065c6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7D828CDB-7336-496E-A3A6-89EC0B1F90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a3712e-bc20-405a-b37f-500586867ac7"/>
    <ds:schemaRef ds:uri="7463d64c-3a86-4ce4-961a-ea9a276065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6A80BE-D40B-46E6-A2CA-FAECC10FE56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909701D-DADA-4D0E-B74D-9E24414BC729}">
  <ds:schemaRefs>
    <ds:schemaRef ds:uri="http://schemas.microsoft.com/office/2006/metadata/properties"/>
    <ds:schemaRef ds:uri="http://schemas.microsoft.com/office/infopath/2007/PartnerControls"/>
    <ds:schemaRef ds:uri="7463d64c-3a86-4ce4-961a-ea9a276065c6"/>
    <ds:schemaRef ds:uri="b9a3712e-bc20-405a-b37f-500586867ac7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programa</vt:lpstr>
      <vt:lpstr>Planui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Simona Valasevičienė</dc:creator>
  <cp:keywords/>
  <dc:description/>
  <cp:lastModifiedBy>Alvydas Čiurinskas</cp:lastModifiedBy>
  <cp:revision/>
  <cp:lastPrinted>2026-02-06T12:07:36Z</cp:lastPrinted>
  <dcterms:created xsi:type="dcterms:W3CDTF">2015-06-05T18:17:20Z</dcterms:created>
  <dcterms:modified xsi:type="dcterms:W3CDTF">2026-06-02T05:36:40Z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0x0101002B9FF89BC0D15E42850BA04E1E8B4F0E</vt:lpwstr>
  </property>
  <property fmtid="{D5CDD505-2E9C-101B-9397-08002B2CF9AE}" pid="3" name="MediaServiceImageTags">
    <vt:lpwstr/>
  </property>
</Properties>
</file>